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Sillamäe ÜVKA 2024\ÜVKA draft\Invest projektid\"/>
    </mc:Choice>
  </mc:AlternateContent>
  <xr:revisionPtr revIDLastSave="0" documentId="13_ncr:1_{05ABE90D-DE7A-4938-94D3-37A3BFDCE25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ftn1" localSheetId="0">Sheet1!#REF!</definedName>
    <definedName name="_ftnref1" localSheetId="0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5" i="1" l="1"/>
  <c r="M85" i="1"/>
  <c r="N85" i="1"/>
  <c r="O85" i="1"/>
  <c r="J85" i="1"/>
  <c r="J43" i="1"/>
  <c r="J41" i="1"/>
  <c r="L41" i="1" s="1"/>
  <c r="N41" i="1" s="1"/>
  <c r="C42" i="1" l="1"/>
  <c r="L81" i="1" l="1"/>
  <c r="L84" i="1" s="1"/>
  <c r="N84" i="1" s="1"/>
  <c r="H82" i="1"/>
  <c r="J81" i="1"/>
  <c r="J82" i="1" s="1"/>
  <c r="C81" i="1"/>
  <c r="H77" i="1"/>
  <c r="J76" i="1"/>
  <c r="J77" i="1" s="1"/>
  <c r="C76" i="1"/>
  <c r="J57" i="1"/>
  <c r="M57" i="1" s="1"/>
  <c r="O57" i="1" s="1"/>
  <c r="O60" i="1" s="1"/>
  <c r="J52" i="1"/>
  <c r="J53" i="1" s="1"/>
  <c r="H58" i="1"/>
  <c r="J71" i="1"/>
  <c r="J72" i="1" s="1"/>
  <c r="H94" i="1"/>
  <c r="K93" i="1"/>
  <c r="K94" i="1" s="1"/>
  <c r="L76" i="1" l="1"/>
  <c r="L79" i="1" s="1"/>
  <c r="N79" i="1" s="1"/>
  <c r="N81" i="1"/>
  <c r="J83" i="1"/>
  <c r="J84" i="1" s="1"/>
  <c r="N76" i="1"/>
  <c r="J78" i="1"/>
  <c r="J79" i="1" s="1"/>
  <c r="M52" i="1"/>
  <c r="O52" i="1" s="1"/>
  <c r="O55" i="1" s="1"/>
  <c r="J58" i="1"/>
  <c r="J59" i="1" s="1"/>
  <c r="J60" i="1" s="1"/>
  <c r="M60" i="1"/>
  <c r="L71" i="1"/>
  <c r="L93" i="1"/>
  <c r="L96" i="1" s="1"/>
  <c r="K95" i="1"/>
  <c r="K96" i="1" s="1"/>
  <c r="M55" i="1" l="1"/>
  <c r="N71" i="1"/>
  <c r="L74" i="1"/>
  <c r="N93" i="1"/>
  <c r="N96" i="1" s="1"/>
  <c r="J16" i="1" l="1"/>
  <c r="M16" i="1" s="1"/>
  <c r="O16" i="1" s="1"/>
  <c r="J47" i="1"/>
  <c r="J48" i="1" s="1"/>
  <c r="N98" i="1"/>
  <c r="K108" i="1"/>
  <c r="M108" i="1" s="1"/>
  <c r="K109" i="1"/>
  <c r="M109" i="1" s="1"/>
  <c r="K110" i="1"/>
  <c r="M110" i="1" s="1"/>
  <c r="K111" i="1"/>
  <c r="M111" i="1" s="1"/>
  <c r="K112" i="1"/>
  <c r="M112" i="1" s="1"/>
  <c r="K107" i="1"/>
  <c r="M107" i="1" s="1"/>
  <c r="K99" i="1"/>
  <c r="M99" i="1" s="1"/>
  <c r="O99" i="1" s="1"/>
  <c r="K100" i="1"/>
  <c r="M100" i="1" s="1"/>
  <c r="K101" i="1"/>
  <c r="M101" i="1" s="1"/>
  <c r="K102" i="1"/>
  <c r="M102" i="1" s="1"/>
  <c r="K98" i="1"/>
  <c r="M98" i="1" s="1"/>
  <c r="O98" i="1" s="1"/>
  <c r="K89" i="1"/>
  <c r="M89" i="1" s="1"/>
  <c r="O89" i="1" s="1"/>
  <c r="J49" i="1" l="1"/>
  <c r="J50" i="1" s="1"/>
  <c r="L47" i="1"/>
  <c r="K114" i="1"/>
  <c r="K115" i="1" s="1"/>
  <c r="K116" i="1" s="1"/>
  <c r="K103" i="1"/>
  <c r="K104" i="1" s="1"/>
  <c r="K105" i="1" s="1"/>
  <c r="O102" i="1"/>
  <c r="J54" i="1" l="1"/>
  <c r="J55" i="1" s="1"/>
  <c r="L50" i="1"/>
  <c r="N47" i="1"/>
  <c r="J21" i="1"/>
  <c r="L21" i="1" s="1"/>
  <c r="N21" i="1" s="1"/>
  <c r="N50" i="1" l="1"/>
  <c r="J8" i="1"/>
  <c r="M8" i="1" s="1"/>
  <c r="L62" i="1"/>
  <c r="J7" i="1"/>
  <c r="C7" i="1"/>
  <c r="C8" i="1" s="1"/>
  <c r="L7" i="1" l="1"/>
  <c r="K118" i="1"/>
  <c r="J42" i="1" l="1"/>
  <c r="L42" i="1" s="1"/>
  <c r="N42" i="1" s="1"/>
  <c r="J44" i="1" l="1"/>
  <c r="L45" i="1" l="1"/>
  <c r="N45" i="1" s="1"/>
  <c r="J45" i="1"/>
  <c r="N34" i="1"/>
  <c r="N29" i="1"/>
  <c r="N28" i="1"/>
  <c r="N27" i="1"/>
  <c r="N26" i="1"/>
  <c r="N19" i="1"/>
  <c r="C63" i="1" l="1"/>
  <c r="C64" i="1" s="1"/>
  <c r="C65" i="1" s="1"/>
  <c r="C66" i="1" s="1"/>
  <c r="J65" i="1" l="1"/>
  <c r="L65" i="1" s="1"/>
  <c r="N65" i="1" s="1"/>
  <c r="J66" i="1"/>
  <c r="L66" i="1" s="1"/>
  <c r="N66" i="1" s="1"/>
  <c r="C108" i="1"/>
  <c r="C109" i="1" s="1"/>
  <c r="C110" i="1" s="1"/>
  <c r="C111" i="1" s="1"/>
  <c r="C112" i="1" s="1"/>
  <c r="H113" i="1"/>
  <c r="O108" i="1"/>
  <c r="O109" i="1"/>
  <c r="O110" i="1"/>
  <c r="O111" i="1"/>
  <c r="O100" i="1"/>
  <c r="O101" i="1"/>
  <c r="C99" i="1"/>
  <c r="C100" i="1" s="1"/>
  <c r="C101" i="1" s="1"/>
  <c r="C102" i="1" s="1"/>
  <c r="J35" i="1"/>
  <c r="L35" i="1" s="1"/>
  <c r="N35" i="1" s="1"/>
  <c r="J32" i="1"/>
  <c r="L32" i="1" s="1"/>
  <c r="N32" i="1" s="1"/>
  <c r="J19" i="1"/>
  <c r="M19" i="1" s="1"/>
  <c r="O19" i="1" s="1"/>
  <c r="J20" i="1"/>
  <c r="L20" i="1" s="1"/>
  <c r="N20" i="1" s="1"/>
  <c r="J22" i="1"/>
  <c r="L22" i="1" s="1"/>
  <c r="N22" i="1" s="1"/>
  <c r="J23" i="1"/>
  <c r="L23" i="1" s="1"/>
  <c r="N23" i="1" s="1"/>
  <c r="J24" i="1"/>
  <c r="L24" i="1" s="1"/>
  <c r="N24" i="1" s="1"/>
  <c r="J25" i="1"/>
  <c r="L25" i="1" s="1"/>
  <c r="N25" i="1" s="1"/>
  <c r="J26" i="1"/>
  <c r="M26" i="1" s="1"/>
  <c r="O26" i="1" s="1"/>
  <c r="J27" i="1"/>
  <c r="M27" i="1" s="1"/>
  <c r="O27" i="1" s="1"/>
  <c r="J28" i="1"/>
  <c r="M28" i="1" s="1"/>
  <c r="O28" i="1" s="1"/>
  <c r="J29" i="1"/>
  <c r="M29" i="1" s="1"/>
  <c r="O29" i="1" s="1"/>
  <c r="J30" i="1"/>
  <c r="L30" i="1" s="1"/>
  <c r="N30" i="1" s="1"/>
  <c r="J31" i="1"/>
  <c r="L31" i="1" s="1"/>
  <c r="N31" i="1" s="1"/>
  <c r="J33" i="1"/>
  <c r="L33" i="1" s="1"/>
  <c r="N33" i="1" s="1"/>
  <c r="J34" i="1"/>
  <c r="M34" i="1" s="1"/>
  <c r="O34" i="1" s="1"/>
  <c r="J36" i="1"/>
  <c r="M36" i="1" s="1"/>
  <c r="O36" i="1" s="1"/>
  <c r="C9" i="1"/>
  <c r="C10" i="1" s="1"/>
  <c r="C11" i="1" s="1"/>
  <c r="C12" i="1" s="1"/>
  <c r="C13" i="1" s="1"/>
  <c r="C14" i="1" s="1"/>
  <c r="C15" i="1" s="1"/>
  <c r="C16" i="1" s="1"/>
  <c r="C19" i="1"/>
  <c r="C20" i="1" s="1"/>
  <c r="J18" i="1"/>
  <c r="M18" i="1" s="1"/>
  <c r="O107" i="1" l="1"/>
  <c r="C21" i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K88" i="1" l="1"/>
  <c r="H103" i="1"/>
  <c r="K90" i="1" l="1"/>
  <c r="K91" i="1" s="1"/>
  <c r="K92" i="1" s="1"/>
  <c r="M88" i="1"/>
  <c r="L88" i="1"/>
  <c r="M116" i="1"/>
  <c r="M105" i="1" l="1"/>
  <c r="O105" i="1" s="1"/>
  <c r="L92" i="1"/>
  <c r="N88" i="1"/>
  <c r="N92" i="1" s="1"/>
  <c r="O112" i="1"/>
  <c r="O88" i="1"/>
  <c r="O92" i="1" s="1"/>
  <c r="M92" i="1"/>
  <c r="O10" i="1"/>
  <c r="N11" i="1"/>
  <c r="O12" i="1"/>
  <c r="O13" i="1"/>
  <c r="O14" i="1"/>
  <c r="O15" i="1"/>
  <c r="O116" i="1"/>
  <c r="N62" i="1"/>
  <c r="N9" i="1"/>
  <c r="O122" i="1" l="1"/>
  <c r="M122" i="1"/>
  <c r="H119" i="1"/>
  <c r="L118" i="1"/>
  <c r="N118" i="1" l="1"/>
  <c r="L121" i="1"/>
  <c r="K119" i="1"/>
  <c r="K120" i="1" s="1"/>
  <c r="K121" i="1" s="1"/>
  <c r="K122" i="1" s="1"/>
  <c r="L122" i="1" l="1"/>
  <c r="N121" i="1"/>
  <c r="N122" i="1" s="1"/>
  <c r="J64" i="1"/>
  <c r="L64" i="1" s="1"/>
  <c r="N64" i="1" s="1"/>
  <c r="J63" i="1"/>
  <c r="L63" i="1" s="1"/>
  <c r="J62" i="1"/>
  <c r="N63" i="1" l="1"/>
  <c r="L69" i="1"/>
  <c r="J67" i="1"/>
  <c r="J68" i="1" l="1"/>
  <c r="J69" i="1" s="1"/>
  <c r="J73" i="1"/>
  <c r="J74" i="1" s="1"/>
  <c r="N69" i="1"/>
  <c r="N74" i="1"/>
  <c r="J12" i="1"/>
  <c r="L12" i="1" s="1"/>
  <c r="N12" i="1" s="1"/>
  <c r="J13" i="1"/>
  <c r="L13" i="1" s="1"/>
  <c r="N13" i="1" s="1"/>
  <c r="J14" i="1"/>
  <c r="J15" i="1"/>
  <c r="L15" i="1" s="1"/>
  <c r="N15" i="1" s="1"/>
  <c r="J11" i="1"/>
  <c r="M11" i="1" s="1"/>
  <c r="O11" i="1" s="1"/>
  <c r="J10" i="1"/>
  <c r="L10" i="1" s="1"/>
  <c r="J9" i="1"/>
  <c r="L25" i="3"/>
  <c r="G43" i="3"/>
  <c r="G32" i="3"/>
  <c r="G26" i="3"/>
  <c r="M41" i="3"/>
  <c r="M42" i="3" s="1"/>
  <c r="M22" i="3"/>
  <c r="M24" i="3"/>
  <c r="M23" i="3"/>
  <c r="H40" i="3"/>
  <c r="H41" i="3"/>
  <c r="H42" i="3"/>
  <c r="H39" i="3"/>
  <c r="K12" i="3"/>
  <c r="M12" i="3" s="1"/>
  <c r="F13" i="3"/>
  <c r="H13" i="3" s="1"/>
  <c r="H14" i="3" s="1"/>
  <c r="F25" i="3"/>
  <c r="H25" i="3" s="1"/>
  <c r="F24" i="3"/>
  <c r="F30" i="3" s="1"/>
  <c r="H30" i="3" s="1"/>
  <c r="F23" i="3"/>
  <c r="F29" i="3" s="1"/>
  <c r="H29" i="3" s="1"/>
  <c r="K10" i="3"/>
  <c r="M10" i="3" s="1"/>
  <c r="K9" i="3"/>
  <c r="F9" i="3"/>
  <c r="H9" i="3" s="1"/>
  <c r="F10" i="3"/>
  <c r="H10" i="3" s="1"/>
  <c r="F11" i="3"/>
  <c r="H11" i="3" s="1"/>
  <c r="C22" i="3"/>
  <c r="F22" i="3" s="1"/>
  <c r="F28" i="3" s="1"/>
  <c r="C8" i="3"/>
  <c r="F8" i="3" s="1"/>
  <c r="E24" i="2"/>
  <c r="E22" i="2"/>
  <c r="E21" i="2"/>
  <c r="H6" i="2"/>
  <c r="I6" i="2" s="1"/>
  <c r="H11" i="2"/>
  <c r="I11" i="2" s="1"/>
  <c r="G13" i="2"/>
  <c r="H13" i="2" s="1"/>
  <c r="I13" i="2" s="1"/>
  <c r="G14" i="2"/>
  <c r="H14" i="2" s="1"/>
  <c r="I14" i="2" s="1"/>
  <c r="G15" i="2"/>
  <c r="H15" i="2" s="1"/>
  <c r="I15" i="2" s="1"/>
  <c r="G16" i="2"/>
  <c r="H16" i="2" s="1"/>
  <c r="I16" i="2" s="1"/>
  <c r="G17" i="2"/>
  <c r="H17" i="2" s="1"/>
  <c r="I17" i="2" s="1"/>
  <c r="G12" i="2"/>
  <c r="H12" i="2" s="1"/>
  <c r="I12" i="2" s="1"/>
  <c r="G8" i="2"/>
  <c r="H8" i="2" s="1"/>
  <c r="I8" i="2" s="1"/>
  <c r="G9" i="2"/>
  <c r="H9" i="2" s="1"/>
  <c r="I9" i="2" s="1"/>
  <c r="G10" i="2"/>
  <c r="H10" i="2" s="1"/>
  <c r="I10" i="2" s="1"/>
  <c r="G7" i="2"/>
  <c r="H7" i="2" s="1"/>
  <c r="I7" i="2" s="1"/>
  <c r="G5" i="2"/>
  <c r="H5" i="2" s="1"/>
  <c r="I5" i="2" s="1"/>
  <c r="G4" i="2"/>
  <c r="H4" i="2" s="1"/>
  <c r="F18" i="2"/>
  <c r="J37" i="1" l="1"/>
  <c r="M25" i="3"/>
  <c r="H43" i="3"/>
  <c r="M9" i="1"/>
  <c r="M39" i="1" s="1"/>
  <c r="N10" i="1"/>
  <c r="L14" i="1"/>
  <c r="N14" i="1" s="1"/>
  <c r="H24" i="3"/>
  <c r="H12" i="3"/>
  <c r="H15" i="3" s="1"/>
  <c r="F31" i="3"/>
  <c r="H31" i="3" s="1"/>
  <c r="I4" i="2"/>
  <c r="I18" i="2" s="1"/>
  <c r="H18" i="2"/>
  <c r="H32" i="3"/>
  <c r="H23" i="3"/>
  <c r="G18" i="2"/>
  <c r="N123" i="1" l="1"/>
  <c r="M123" i="1"/>
  <c r="L39" i="1"/>
  <c r="L123" i="1" s="1"/>
  <c r="H26" i="3"/>
  <c r="J38" i="1"/>
  <c r="J39" i="1" s="1"/>
  <c r="O9" i="1"/>
  <c r="K123" i="1" l="1"/>
  <c r="N39" i="1"/>
  <c r="O123" i="1" s="1"/>
  <c r="O39" i="1"/>
</calcChain>
</file>

<file path=xl/sharedStrings.xml><?xml version="1.0" encoding="utf-8"?>
<sst xmlns="http://schemas.openxmlformats.org/spreadsheetml/2006/main" count="295" uniqueCount="154">
  <si>
    <t>Jrk. nr.</t>
  </si>
  <si>
    <t>Ühik</t>
  </si>
  <si>
    <t>Kogus</t>
  </si>
  <si>
    <t>tk</t>
  </si>
  <si>
    <t>573 735</t>
  </si>
  <si>
    <t>Arendus-/investeeringuprojekt</t>
  </si>
  <si>
    <t xml:space="preserve">Pumbatorustiku paigaldamine puurkaevudele  s.h 15 mm siseläbimõõduga PE-torustik veetaseme andurile </t>
  </si>
  <si>
    <t>m</t>
  </si>
  <si>
    <t>6 * 70</t>
  </si>
  <si>
    <t>Puurkaevu päise asendamine</t>
  </si>
  <si>
    <t>Puurkaevpumpla nr 8 uue hoone ehitamine (metall, tellis puhasvuugil)</t>
  </si>
  <si>
    <t>4*5*3,2</t>
  </si>
  <si>
    <t>Pumplatorustiku väljavahetamine (PE-materjal) ja paigaldamine</t>
  </si>
  <si>
    <t>kompl</t>
  </si>
  <si>
    <t>Tagasilöögiklapid</t>
  </si>
  <si>
    <t>Veetaseme andur puurkaevus</t>
  </si>
  <si>
    <t>Elektriseadmete, kaablite asendamine,</t>
  </si>
  <si>
    <t>Sagedusmuunduri paigaldamine pk nr 8-le süvaveepumba töö juhtimiseks</t>
  </si>
  <si>
    <t>Kahetariifse elektriarvesti paigaldamine</t>
  </si>
  <si>
    <t>Andmeside paigaldamine: PLC (kontrollerid)</t>
  </si>
  <si>
    <t>Raadiomodem, suundantennid</t>
  </si>
  <si>
    <t>Kaugvalve, signalisatsioon, andurid, häireandmete edastamine (tulekahju, vargus, rike)</t>
  </si>
  <si>
    <t>Analoogplokkide kaitsmed</t>
  </si>
  <si>
    <t>Ümbruse korrastamine, lukustatava väravaga aia ehitamine</t>
  </si>
  <si>
    <t>töö</t>
  </si>
  <si>
    <t>Kokku</t>
  </si>
  <si>
    <t>I etapp</t>
  </si>
  <si>
    <t>572 735</t>
  </si>
  <si>
    <t>de32</t>
  </si>
  <si>
    <t xml:space="preserve">ühikmaksu-mus, eur/m </t>
  </si>
  <si>
    <t>Maht, m</t>
  </si>
  <si>
    <t>de50</t>
  </si>
  <si>
    <t>de63</t>
  </si>
  <si>
    <t>de110</t>
  </si>
  <si>
    <t>Makusmus, eur</t>
  </si>
  <si>
    <t>de160</t>
  </si>
  <si>
    <t>de200</t>
  </si>
  <si>
    <t>Projektijuh-timine/omaniku-järelevalve, 10%</t>
  </si>
  <si>
    <t>Projekteerimine, 5%</t>
  </si>
  <si>
    <t>Ettenägematud kulud/hinna-kõikumised, 5%</t>
  </si>
  <si>
    <t>II etapp</t>
  </si>
  <si>
    <t>Ettenägematud kulud/hinna-kõikumised, 10%</t>
  </si>
  <si>
    <t>de110 ehit</t>
  </si>
  <si>
    <t>de110 rek</t>
  </si>
  <si>
    <t>Kõik kokku</t>
  </si>
  <si>
    <t>Projekteerimine, projektijuhtimine, omanikujärelevalve, ettenägematud kulud, 20%</t>
  </si>
  <si>
    <t>de200 eh</t>
  </si>
  <si>
    <t>de200 rek</t>
  </si>
  <si>
    <t>Koos kanaliga</t>
  </si>
  <si>
    <t>Kanalisatsioonivõrgu rek ja ehitamine</t>
  </si>
  <si>
    <t>kokku</t>
  </si>
  <si>
    <t>Veevõrgu rek ja ehitamine</t>
  </si>
  <si>
    <t>Projekt</t>
  </si>
  <si>
    <t>Õhukuivati paigaldamine ruumi niiskusrežiimi tagamiseks</t>
  </si>
  <si>
    <t>Impulssväljundiga veearvesti  koos andmete edastamise mooduliga</t>
  </si>
  <si>
    <t>kmpl ja töö</t>
  </si>
  <si>
    <t>Hüdrofoor 500 l koos rõhuanduri ja manomeetriga</t>
  </si>
  <si>
    <t>Investeeringuprojektide maksumused ja realiseerimine, eurot (ilma käibemaksuta)</t>
  </si>
  <si>
    <t>B2</t>
  </si>
  <si>
    <t>C2</t>
  </si>
  <si>
    <t>elektri-automaatikaseadmete montaaž-, seadistamis- ja käikulaskmistööd koos andmeedastus- ja kaugjuhtimisseadmetega ning hooldepersonali 1 p. Koolitus</t>
  </si>
  <si>
    <t>15 a.</t>
  </si>
  <si>
    <t>40 a.</t>
  </si>
  <si>
    <t>Kulum 15 a 6,67%</t>
  </si>
  <si>
    <t>kmpl</t>
  </si>
  <si>
    <t>Kulum40 a. 2,5%</t>
  </si>
  <si>
    <t>Sillamäe linna ühisveevärgi ja -kanalisatsiooniprojektide investeeringuvajadus (Eurot)</t>
  </si>
  <si>
    <t>Olemasoleva puurkaevpumpla hoone lammutamine</t>
  </si>
  <si>
    <t>Vertikaalplaneerimine+ asfaltplats ( 50 m2)+ piirdeaed; koos väravaga, koos ettevalmistus- ja abitöödega</t>
  </si>
  <si>
    <t>mahuti sissevoolu-, väljavoolu-, tühjendus-, ülevoolutorustik PE De110 PN10</t>
  </si>
  <si>
    <t>Mahuti ventilatsioonitoru PVC de90</t>
  </si>
  <si>
    <t>Desinfitseerimisseadmete (kloreerimisseadmete) paigaldamine</t>
  </si>
  <si>
    <t>Kompressor</t>
  </si>
  <si>
    <t>Filter suruõhu järelpuhastuseks</t>
  </si>
  <si>
    <t xml:space="preserve">Impulssväljundiga veearvesti koos andmete edastamise mooduliga </t>
  </si>
  <si>
    <t>m3</t>
  </si>
  <si>
    <t>Uhtevee äravoolutorustiku rajamine, L~ 30 m. Materjal: PE PN 10 de110</t>
  </si>
  <si>
    <t>PE-plastist puhtaveemahuti rajamine koos nivooanduri paigalduse ja seadistamisega</t>
  </si>
  <si>
    <t>Pumplahoone ehitamine (laineplekk, puitvooder või anal.) koos soojustusega (kivivill vms), mõõtmetega 2,50*2.30*2.90, ühepoolse kaldega katuslagi, koos ventilatsiooni ja elektriradiaatori paigaldusega</t>
  </si>
  <si>
    <t>Puurkaevpumpla hoone ehitus mõõtmetega orienteeruvalt: 4,5*10*3,5 m (laineplekk, puitvooder või anal.) ühepoolse kaldega katuslagi, koos soojustusega (kivivill vms) koos ventilatsiooni ja elektriradiaatori paigaldusega</t>
  </si>
  <si>
    <t>A1</t>
  </si>
  <si>
    <t>D1</t>
  </si>
  <si>
    <t>A2</t>
  </si>
  <si>
    <t>D2</t>
  </si>
  <si>
    <t xml:space="preserve">Sillamäe reoveepuhasti rekonstrueerimine </t>
  </si>
  <si>
    <t>Uue tehnoloogilise seadme ehitamine, käivitamine ja seadistamine</t>
  </si>
  <si>
    <t xml:space="preserve">Uue süvaveepumba paigaldamine puurkaevu koos veetõstetoru ühenduskaabli, julgestustrossi ja seadmetega, Q = 16 m3/h, H = 110 m  </t>
  </si>
  <si>
    <t>Kanalisatsioonivõrgu rekonstrueerimine (isevoolne) DN150</t>
  </si>
  <si>
    <t xml:space="preserve">Veevõrgu rekonstrueerimine DN50 </t>
  </si>
  <si>
    <t xml:space="preserve">Veevõrgu rekonstrueerimine DN75 </t>
  </si>
  <si>
    <t xml:space="preserve">Kanalisatsioonivõrgu rekonstrueerimine (isevoolne) DN200 </t>
  </si>
  <si>
    <t xml:space="preserve">Kanalisatsioonivõrgu rekonstrueerimine (isevoolne) DN250 </t>
  </si>
  <si>
    <t>Kanalisatsioonivõrgu rekonstrueerimine (isevoolne) DN300</t>
  </si>
  <si>
    <t>Kanalisatsioonivõrgu rekonstrueerimine (isevoolne) DN600</t>
  </si>
  <si>
    <t xml:space="preserve">Kanalisatsioonivõrgu rekonstrueerimine (isevoolne) DN800 </t>
  </si>
  <si>
    <t>Roostevabast terasest (mark AISI 316), PE PN16-torudest (elekterkeevismuhvidega) või PVC-U PN16 (liimühendustega) sisetorustikud, koos siibrite ja tagasilöögiklappidega tarne ja paigaldus</t>
  </si>
  <si>
    <t>Roostevabast terasest sisetorustikud, mark AISI 316 koos siibrite ja tagasilöögiklappidega tarne ja paigaldus</t>
  </si>
  <si>
    <t>A3</t>
  </si>
  <si>
    <t>Veevõrgu rekonstrueerimine DN150 koos hüdrantidega (12 tk)</t>
  </si>
  <si>
    <t>Siibrikaevude rekonstrueerimine ja sulgarmatuuri asendamine Geoloogia tn</t>
  </si>
  <si>
    <t>Täisautomaatne metallkorpusega filter kaks paaki,  Q = 16 m3/h, koos filtritäitematerjali ja uhteveemahutiga, tarne ja paigaldamine</t>
  </si>
  <si>
    <t>Puurkaevu 29 rekonstrueerimine</t>
  </si>
  <si>
    <r>
      <t>Puurkaevu süvaveepumba vahetus
 6</t>
    </r>
    <r>
      <rPr>
        <vertAlign val="superscript"/>
        <sz val="11"/>
        <color theme="1"/>
        <rFont val="Calibri"/>
        <family val="2"/>
        <charset val="186"/>
        <scheme val="minor"/>
      </rPr>
      <t>II</t>
    </r>
    <r>
      <rPr>
        <sz val="11"/>
        <color theme="1"/>
        <rFont val="Calibri"/>
        <family val="2"/>
        <charset val="186"/>
        <scheme val="minor"/>
      </rPr>
      <t xml:space="preserve"> pumba Q= 15-18 m3/h
H =100- 110 m , paigaldamine pumplasse koos sagedusmuunduri ja rõhuanduriga </t>
    </r>
  </si>
  <si>
    <t>Elektri-automaatikaseadmete montaaž-, seadistamis- ja käikulaskmistööd koos andmeedastus- ja kaugjuhtimisseadmetega ning hooldepersonali 1 p. Koolitus</t>
  </si>
  <si>
    <t>Puurkaevupumpla nr 11 rekonstrueerimine, II astme pumpla ja veetöötlusseadmete rajamine</t>
  </si>
  <si>
    <t>Aeraatorite vahetus aerotankis</t>
  </si>
  <si>
    <t>Aeratsioonitorustike asendamine ca 60% ulatuses olemasolevatest</t>
  </si>
  <si>
    <t>Andurite kaasajastamine ja väljavahetamine</t>
  </si>
  <si>
    <t>projekti koostamine reoveepuhasti tehnoloogia täiustamiseks koos pilootkatseseadme mõõtmistulemuste analüüsi ja  kasutamisega</t>
  </si>
  <si>
    <t xml:space="preserve">Puhasti eksperthinnagu ja arengukava koostamine </t>
  </si>
  <si>
    <t>Puurkaevu uuringud, CCTV-kaameravaatlus, veekvaliteedi uuringud</t>
  </si>
  <si>
    <t>Gaasieraldusseade GTD</t>
  </si>
  <si>
    <t>II-astme pumpla rajamine: kolme vertikaalse mitmeastmelise tsentrifugaalpumba: Q = 25 m3/h, H = 40 m paigaldamine II astme pumplahoonesse koos sagedusmuunduri ja rõhuanduriga</t>
  </si>
  <si>
    <t>Ühik- või kogumaksumus kokku 2024. a hindades, eurot</t>
  </si>
  <si>
    <t>Veevõrgu rekonstrueerimine DN100  koos hüdrantidega (10 tk)</t>
  </si>
  <si>
    <t>I etapp lühiajaline programm 2024-2028</t>
  </si>
  <si>
    <t>II etapp pikaajaline programm 2029-2036</t>
  </si>
  <si>
    <t>Kõik kokku Sillamäe linna investeeringud I etapp 2024-2028</t>
  </si>
  <si>
    <t xml:space="preserve">Kõik kokku Sillamäe linna ÜVKA II etapp, pikaajaline programm 2029-2036 </t>
  </si>
  <si>
    <t>Kõik kokku Sillamäe linna ÜVK investeeringud I-II etapp 2024-2036</t>
  </si>
  <si>
    <t>Sillamäe puurkaevude nr 11 ja 29 rekonstrueerimine, PK-11 VTJ ja II astme pumpla rajamine</t>
  </si>
  <si>
    <t>Kambrium-Vendi Voronka veekihti (Cm-Vvr) uute puurkaevude rajamine sügavusega 120-140 m koos pumplahoone ehitamise, elektri- ja automaatikaseadmetega  sisustamisega</t>
  </si>
  <si>
    <t>Kambrium-Vendi Voronka veekihti (Cm-Vvr) puurkaevude 13, 15, 16 ja 27 likvideerimine (tamponeerimine), seadmete demonteerimine, hoonete lammutamine</t>
  </si>
  <si>
    <t>Puurkaevude rajamine, 4 tk, pk-27, pk-13, pk-15 ja pk-16 asendamiseks ning puurkaevude nr 13, 15, 16 ja 27 likvideerimine</t>
  </si>
  <si>
    <t>Sillamäe kanalisatsioonivõrgu rekonstrueerimine pikaajalises programmis</t>
  </si>
  <si>
    <t>Sillamäe veevõrgu rekonstrueerimine pikaajalises programmis</t>
  </si>
  <si>
    <t>Sillamäe reoveepuhasti rekonstrueerimine lühiajaline programm</t>
  </si>
  <si>
    <t>I etapp 2024 - 2028</t>
  </si>
  <si>
    <t>II etapp 2029 - 2036</t>
  </si>
  <si>
    <t>Kesk-ja Mikrorajooni veehaarde puurkaevude seadmete täiendamine</t>
  </si>
  <si>
    <t>Generaatorite tarnimine ja installeerimine 2 kmpl Mikrorajooni puurkaevpumplatele ning 2 kmpl Keskpumpla puurkaevudele  30 kW</t>
  </si>
  <si>
    <t xml:space="preserve">Generaatori tarnimine ja installeerimine Mikrorajooni pumplale ning PK-8 pumplale vastavalt Mikrorajooni pumpla ja PK-8 pumpla </t>
  </si>
  <si>
    <t>A4</t>
  </si>
  <si>
    <t xml:space="preserve">Tehnika soetamine </t>
  </si>
  <si>
    <t>aruanne ja raport</t>
  </si>
  <si>
    <t xml:space="preserve">Veevõrgu rekonstrueerimine DN40…DN150 </t>
  </si>
  <si>
    <t>Sillamäe veevõrgu rekonstrueerimine lühiajalises programmis</t>
  </si>
  <si>
    <t>Sillamäe kanalisatsioonivõrgu rekonstrueerimine lühiajalises programmis</t>
  </si>
  <si>
    <t>B1</t>
  </si>
  <si>
    <t>C1</t>
  </si>
  <si>
    <t>Kanalisatsioonivõrgu rekonstrueerimine (isevoolne) DN150… DN500</t>
  </si>
  <si>
    <t>Kesk-ja Mikrorajooni veevarustuspumplate VTJ seadmete täiendamine, veetöötlustehnoloogia tarnimine ja installeerimine (kas osoneerimine või aeratsioonitorn, tulenevalt pilootkatsetustest ), survetõstepumpade asendamine</t>
  </si>
  <si>
    <t>Tehnika soetamine (autod (sh avarii-remondikaubik), traktorid ekskavaatorid, uus survepesuauto (vastavalt vajadusele ja amortisatsioonile)</t>
  </si>
  <si>
    <t>GIS süsteemi täiendamine</t>
  </si>
  <si>
    <t>GIS programmi juurutamine VK-võrkudesse</t>
  </si>
  <si>
    <t>G</t>
  </si>
  <si>
    <t>H</t>
  </si>
  <si>
    <t>Päiksepaneelida paigaldamine pumplatesse</t>
  </si>
  <si>
    <t>Päikseparkide rajamine Kesk- ja Mikrorjooni pumplate territoorumitele</t>
  </si>
  <si>
    <t>töö/kmpl</t>
  </si>
  <si>
    <t>Veetöötlustehnoloogia täiustamiseks katsete läbiviimine, sealhulgas pilootkatseseadmega, tehnoloogia väljatöötamine</t>
  </si>
  <si>
    <t>uuring</t>
  </si>
  <si>
    <t>Kesk-ja Mikrorajooni keskveevarustuspumplate seadmete uuring ja täiendamine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</si>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</sst>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sz val="9"/>
      <color rgb="FF000000"/>
      <name val="Times New Roman"/>
      <family val="1"/>
      <charset val="186"/>
    </font>
    <font>
      <b/>
      <sz val="9"/>
      <color theme="1"/>
      <name val="Arial"/>
      <family val="2"/>
      <charset val="186"/>
    </font>
    <font>
      <sz val="11"/>
      <color theme="1"/>
      <name val="Calibri"/>
      <family val="2"/>
      <charset val="186"/>
    </font>
    <font>
      <vertAlign val="superscript"/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0" fillId="0" borderId="0"/>
  </cellStyleXfs>
  <cellXfs count="169">
    <xf numFmtId="0" fontId="0" fillId="0" borderId="0" xfId="0"/>
    <xf numFmtId="0" fontId="24" fillId="0" borderId="2" xfId="0" applyFont="1" applyBorder="1" applyAlignment="1">
      <alignment horizontal="left" wrapText="1"/>
    </xf>
    <xf numFmtId="0" fontId="24" fillId="0" borderId="2" xfId="0" applyFont="1" applyBorder="1" applyAlignment="1">
      <alignment horizontal="center" wrapText="1"/>
    </xf>
    <xf numFmtId="0" fontId="24" fillId="0" borderId="3" xfId="0" applyFont="1" applyBorder="1" applyAlignment="1">
      <alignment horizontal="center" wrapText="1"/>
    </xf>
    <xf numFmtId="0" fontId="24" fillId="0" borderId="4" xfId="0" applyFont="1" applyBorder="1" applyAlignment="1">
      <alignment horizontal="center" wrapText="1"/>
    </xf>
    <xf numFmtId="2" fontId="24" fillId="0" borderId="2" xfId="0" applyNumberFormat="1" applyFont="1" applyBorder="1" applyAlignment="1">
      <alignment horizontal="center" wrapText="1"/>
    </xf>
    <xf numFmtId="2" fontId="0" fillId="0" borderId="0" xfId="0" applyNumberFormat="1"/>
    <xf numFmtId="164" fontId="0" fillId="0" borderId="0" xfId="0" applyNumberFormat="1"/>
    <xf numFmtId="165" fontId="23" fillId="0" borderId="1" xfId="0" applyNumberFormat="1" applyFont="1" applyBorder="1" applyAlignment="1">
      <alignment horizontal="right"/>
    </xf>
    <xf numFmtId="0" fontId="0" fillId="0" borderId="0" xfId="0" applyAlignment="1">
      <alignment wrapText="1"/>
    </xf>
    <xf numFmtId="0" fontId="20" fillId="0" borderId="0" xfId="1"/>
    <xf numFmtId="0" fontId="0" fillId="0" borderId="0" xfId="0" applyAlignment="1">
      <alignment horizontal="right"/>
    </xf>
    <xf numFmtId="164" fontId="21" fillId="0" borderId="1" xfId="0" applyNumberFormat="1" applyFont="1" applyBorder="1" applyAlignment="1">
      <alignment horizontal="right"/>
    </xf>
    <xf numFmtId="0" fontId="0" fillId="0" borderId="1" xfId="0" applyBorder="1"/>
    <xf numFmtId="0" fontId="21" fillId="0" borderId="0" xfId="0" applyFont="1"/>
    <xf numFmtId="1" fontId="21" fillId="0" borderId="1" xfId="0" applyNumberFormat="1" applyFont="1" applyBorder="1" applyAlignment="1">
      <alignment horizontal="right"/>
    </xf>
    <xf numFmtId="0" fontId="21" fillId="0" borderId="1" xfId="0" applyFont="1" applyBorder="1" applyAlignment="1">
      <alignment horizontal="right"/>
    </xf>
    <xf numFmtId="0" fontId="21" fillId="0" borderId="1" xfId="0" applyFont="1" applyBorder="1" applyAlignment="1">
      <alignment horizontal="center"/>
    </xf>
    <xf numFmtId="0" fontId="21" fillId="0" borderId="1" xfId="0" applyFont="1" applyBorder="1"/>
    <xf numFmtId="0" fontId="22" fillId="2" borderId="6" xfId="0" applyFont="1" applyFill="1" applyBorder="1" applyAlignment="1">
      <alignment horizontal="center" wrapText="1"/>
    </xf>
    <xf numFmtId="0" fontId="22" fillId="2" borderId="7" xfId="0" applyFont="1" applyFill="1" applyBorder="1" applyAlignment="1">
      <alignment horizontal="center" wrapText="1"/>
    </xf>
    <xf numFmtId="0" fontId="21" fillId="0" borderId="1" xfId="0" applyFont="1" applyBorder="1" applyAlignment="1">
      <alignment horizontal="center" wrapText="1"/>
    </xf>
    <xf numFmtId="164" fontId="21" fillId="0" borderId="1" xfId="0" applyNumberFormat="1" applyFont="1" applyBorder="1"/>
    <xf numFmtId="1" fontId="21" fillId="0" borderId="1" xfId="0" applyNumberFormat="1" applyFont="1" applyBorder="1" applyAlignment="1">
      <alignment horizontal="center"/>
    </xf>
    <xf numFmtId="164" fontId="22" fillId="0" borderId="1" xfId="0" applyNumberFormat="1" applyFont="1" applyBorder="1" applyAlignment="1">
      <alignment horizontal="right"/>
    </xf>
    <xf numFmtId="164" fontId="21" fillId="0" borderId="9" xfId="0" applyNumberFormat="1" applyFont="1" applyBorder="1"/>
    <xf numFmtId="0" fontId="22" fillId="0" borderId="1" xfId="0" applyFont="1" applyBorder="1" applyAlignment="1">
      <alignment horizontal="right" wrapText="1"/>
    </xf>
    <xf numFmtId="0" fontId="22" fillId="2" borderId="1" xfId="0" applyFont="1" applyFill="1" applyBorder="1" applyAlignment="1">
      <alignment horizontal="center" wrapText="1"/>
    </xf>
    <xf numFmtId="0" fontId="19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wrapText="1"/>
    </xf>
    <xf numFmtId="0" fontId="18" fillId="0" borderId="8" xfId="0" applyFont="1" applyBorder="1" applyAlignment="1">
      <alignment horizontal="center"/>
    </xf>
    <xf numFmtId="0" fontId="0" fillId="3" borderId="1" xfId="0" applyFill="1" applyBorder="1"/>
    <xf numFmtId="0" fontId="0" fillId="4" borderId="1" xfId="0" applyFill="1" applyBorder="1"/>
    <xf numFmtId="0" fontId="17" fillId="0" borderId="1" xfId="0" applyFont="1" applyBorder="1" applyAlignment="1">
      <alignment horizontal="center"/>
    </xf>
    <xf numFmtId="0" fontId="0" fillId="4" borderId="1" xfId="0" applyFill="1" applyBorder="1" applyAlignment="1">
      <alignment wrapText="1"/>
    </xf>
    <xf numFmtId="0" fontId="0" fillId="4" borderId="1" xfId="0" applyFill="1" applyBorder="1" applyAlignment="1">
      <alignment horizontal="center" wrapText="1" readingOrder="1"/>
    </xf>
    <xf numFmtId="0" fontId="18" fillId="0" borderId="1" xfId="0" applyFont="1" applyBorder="1" applyAlignment="1">
      <alignment wrapText="1"/>
    </xf>
    <xf numFmtId="0" fontId="16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 wrapText="1"/>
    </xf>
    <xf numFmtId="0" fontId="16" fillId="0" borderId="8" xfId="0" applyFont="1" applyBorder="1" applyAlignment="1">
      <alignment horizontal="center"/>
    </xf>
    <xf numFmtId="0" fontId="21" fillId="0" borderId="10" xfId="0" applyFont="1" applyBorder="1" applyAlignment="1">
      <alignment horizontal="right"/>
    </xf>
    <xf numFmtId="0" fontId="15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right"/>
    </xf>
    <xf numFmtId="0" fontId="14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10" fillId="0" borderId="1" xfId="0" applyFont="1" applyBorder="1" applyAlignment="1">
      <alignment horizontal="center"/>
    </xf>
    <xf numFmtId="1" fontId="0" fillId="3" borderId="1" xfId="0" applyNumberFormat="1" applyFill="1" applyBorder="1"/>
    <xf numFmtId="1" fontId="0" fillId="4" borderId="1" xfId="0" applyNumberFormat="1" applyFill="1" applyBorder="1"/>
    <xf numFmtId="1" fontId="0" fillId="4" borderId="1" xfId="0" applyNumberFormat="1" applyFill="1" applyBorder="1" applyAlignment="1">
      <alignment horizontal="center" wrapText="1" readingOrder="1"/>
    </xf>
    <xf numFmtId="1" fontId="21" fillId="0" borderId="1" xfId="0" applyNumberFormat="1" applyFont="1" applyBorder="1"/>
    <xf numFmtId="1" fontId="22" fillId="0" borderId="1" xfId="0" applyNumberFormat="1" applyFont="1" applyBorder="1" applyAlignment="1">
      <alignment horizontal="right"/>
    </xf>
    <xf numFmtId="1" fontId="21" fillId="0" borderId="9" xfId="0" applyNumberFormat="1" applyFont="1" applyBorder="1"/>
    <xf numFmtId="1" fontId="21" fillId="0" borderId="10" xfId="0" applyNumberFormat="1" applyFont="1" applyBorder="1" applyAlignment="1">
      <alignment horizontal="right"/>
    </xf>
    <xf numFmtId="0" fontId="10" fillId="0" borderId="1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right"/>
    </xf>
    <xf numFmtId="1" fontId="21" fillId="0" borderId="5" xfId="0" applyNumberFormat="1" applyFont="1" applyBorder="1" applyAlignment="1">
      <alignment horizontal="right"/>
    </xf>
    <xf numFmtId="1" fontId="21" fillId="0" borderId="5" xfId="0" applyNumberFormat="1" applyFont="1" applyBorder="1" applyAlignment="1">
      <alignment horizontal="center"/>
    </xf>
    <xf numFmtId="1" fontId="0" fillId="0" borderId="1" xfId="0" applyNumberFormat="1" applyBorder="1"/>
    <xf numFmtId="1" fontId="22" fillId="0" borderId="10" xfId="0" applyNumberFormat="1" applyFont="1" applyBorder="1" applyAlignment="1">
      <alignment horizontal="right"/>
    </xf>
    <xf numFmtId="1" fontId="22" fillId="3" borderId="1" xfId="0" applyNumberFormat="1" applyFont="1" applyFill="1" applyBorder="1" applyAlignment="1">
      <alignment horizontal="right"/>
    </xf>
    <xf numFmtId="1" fontId="22" fillId="4" borderId="1" xfId="0" applyNumberFormat="1" applyFont="1" applyFill="1" applyBorder="1" applyAlignment="1">
      <alignment horizontal="right"/>
    </xf>
    <xf numFmtId="1" fontId="22" fillId="3" borderId="10" xfId="0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right" wrapText="1"/>
    </xf>
    <xf numFmtId="1" fontId="0" fillId="0" borderId="0" xfId="0" applyNumberFormat="1"/>
    <xf numFmtId="0" fontId="22" fillId="0" borderId="1" xfId="0" applyFont="1" applyBorder="1" applyAlignment="1">
      <alignment horizontal="right"/>
    </xf>
    <xf numFmtId="1" fontId="29" fillId="5" borderId="1" xfId="0" applyNumberFormat="1" applyFont="1" applyFill="1" applyBorder="1" applyAlignment="1">
      <alignment horizontal="right"/>
    </xf>
    <xf numFmtId="1" fontId="29" fillId="3" borderId="1" xfId="0" applyNumberFormat="1" applyFont="1" applyFill="1" applyBorder="1" applyAlignment="1">
      <alignment horizontal="right"/>
    </xf>
    <xf numFmtId="1" fontId="29" fillId="4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center" wrapText="1"/>
    </xf>
    <xf numFmtId="0" fontId="18" fillId="0" borderId="8" xfId="0" applyFont="1" applyBorder="1" applyAlignment="1">
      <alignment horizontal="center" wrapText="1"/>
    </xf>
    <xf numFmtId="0" fontId="5" fillId="0" borderId="8" xfId="0" applyFont="1" applyBorder="1" applyAlignment="1">
      <alignment horizontal="center"/>
    </xf>
    <xf numFmtId="1" fontId="22" fillId="4" borderId="10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 wrapText="1"/>
    </xf>
    <xf numFmtId="0" fontId="4" fillId="0" borderId="8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" fontId="4" fillId="0" borderId="1" xfId="0" applyNumberFormat="1" applyFont="1" applyBorder="1" applyAlignment="1">
      <alignment horizontal="right"/>
    </xf>
    <xf numFmtId="0" fontId="26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/>
    </xf>
    <xf numFmtId="1" fontId="32" fillId="0" borderId="1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right"/>
    </xf>
    <xf numFmtId="1" fontId="3" fillId="0" borderId="1" xfId="0" applyNumberFormat="1" applyFont="1" applyBorder="1"/>
    <xf numFmtId="0" fontId="2" fillId="0" borderId="8" xfId="0" applyFont="1" applyBorder="1" applyAlignment="1">
      <alignment horizontal="center"/>
    </xf>
    <xf numFmtId="0" fontId="22" fillId="0" borderId="5" xfId="0" applyFont="1" applyBorder="1" applyAlignment="1">
      <alignment horizontal="left" wrapText="1"/>
    </xf>
    <xf numFmtId="0" fontId="22" fillId="0" borderId="10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21" fillId="0" borderId="10" xfId="0" applyFont="1" applyBorder="1" applyAlignment="1">
      <alignment horizontal="left" wrapText="1"/>
    </xf>
    <xf numFmtId="0" fontId="16" fillId="0" borderId="5" xfId="0" applyFont="1" applyBorder="1" applyAlignment="1">
      <alignment horizontal="right"/>
    </xf>
    <xf numFmtId="0" fontId="21" fillId="0" borderId="8" xfId="0" applyFont="1" applyBorder="1"/>
    <xf numFmtId="0" fontId="0" fillId="0" borderId="10" xfId="0" applyBorder="1"/>
    <xf numFmtId="0" fontId="15" fillId="0" borderId="5" xfId="0" applyFont="1" applyBorder="1" applyAlignment="1">
      <alignment horizontal="left" wrapText="1"/>
    </xf>
    <xf numFmtId="0" fontId="22" fillId="0" borderId="5" xfId="0" applyFont="1" applyBorder="1" applyAlignment="1">
      <alignment horizontal="right"/>
    </xf>
    <xf numFmtId="0" fontId="22" fillId="0" borderId="8" xfId="0" applyFont="1" applyBorder="1" applyAlignment="1">
      <alignment horizontal="right"/>
    </xf>
    <xf numFmtId="0" fontId="4" fillId="0" borderId="5" xfId="0" applyFont="1" applyBorder="1" applyAlignment="1">
      <alignment horizontal="left" vertical="justify" wrapText="1"/>
    </xf>
    <xf numFmtId="0" fontId="21" fillId="0" borderId="10" xfId="0" applyFont="1" applyBorder="1" applyAlignment="1">
      <alignment horizontal="left" vertical="justify" wrapText="1"/>
    </xf>
    <xf numFmtId="0" fontId="22" fillId="0" borderId="1" xfId="0" applyFont="1" applyBorder="1" applyAlignment="1">
      <alignment horizontal="right" wrapText="1"/>
    </xf>
    <xf numFmtId="0" fontId="21" fillId="0" borderId="1" xfId="0" applyFont="1" applyBorder="1" applyAlignment="1">
      <alignment horizontal="right"/>
    </xf>
    <xf numFmtId="0" fontId="21" fillId="0" borderId="1" xfId="0" applyFont="1" applyBorder="1" applyAlignment="1">
      <alignment horizontal="right" wrapText="1"/>
    </xf>
    <xf numFmtId="0" fontId="18" fillId="0" borderId="5" xfId="0" applyFont="1" applyBorder="1" applyAlignment="1">
      <alignment horizontal="right" wrapText="1"/>
    </xf>
    <xf numFmtId="0" fontId="21" fillId="0" borderId="8" xfId="0" applyFont="1" applyBorder="1" applyAlignment="1">
      <alignment horizontal="right"/>
    </xf>
    <xf numFmtId="0" fontId="0" fillId="0" borderId="10" xfId="0" applyBorder="1" applyAlignment="1">
      <alignment horizontal="right"/>
    </xf>
    <xf numFmtId="0" fontId="12" fillId="0" borderId="5" xfId="0" applyFont="1" applyBorder="1" applyAlignment="1">
      <alignment horizontal="left" wrapText="1"/>
    </xf>
    <xf numFmtId="0" fontId="21" fillId="0" borderId="5" xfId="0" applyFont="1" applyBorder="1" applyAlignment="1">
      <alignment horizontal="right" wrapText="1"/>
    </xf>
    <xf numFmtId="0" fontId="22" fillId="0" borderId="10" xfId="0" applyFont="1" applyBorder="1" applyAlignment="1">
      <alignment horizontal="right"/>
    </xf>
    <xf numFmtId="0" fontId="30" fillId="0" borderId="11" xfId="0" applyFont="1" applyBorder="1" applyAlignment="1">
      <alignment horizontal="center"/>
    </xf>
    <xf numFmtId="0" fontId="31" fillId="0" borderId="11" xfId="0" applyFont="1" applyBorder="1"/>
    <xf numFmtId="0" fontId="10" fillId="0" borderId="1" xfId="0" applyFont="1" applyBorder="1" applyAlignment="1">
      <alignment horizontal="left" wrapText="1"/>
    </xf>
    <xf numFmtId="0" fontId="21" fillId="0" borderId="1" xfId="0" applyFont="1" applyBorder="1" applyAlignment="1">
      <alignment horizontal="left" wrapText="1"/>
    </xf>
    <xf numFmtId="0" fontId="10" fillId="0" borderId="5" xfId="0" applyFont="1" applyBorder="1" applyAlignment="1">
      <alignment horizontal="left" vertical="justify" wrapText="1"/>
    </xf>
    <xf numFmtId="0" fontId="21" fillId="0" borderId="8" xfId="0" applyFont="1" applyBorder="1" applyAlignment="1">
      <alignment horizontal="right" wrapText="1"/>
    </xf>
    <xf numFmtId="0" fontId="21" fillId="0" borderId="10" xfId="0" applyFont="1" applyBorder="1" applyAlignment="1">
      <alignment horizontal="right" wrapText="1"/>
    </xf>
    <xf numFmtId="0" fontId="22" fillId="0" borderId="5" xfId="0" applyFont="1" applyBorder="1" applyAlignment="1">
      <alignment wrapText="1"/>
    </xf>
    <xf numFmtId="0" fontId="22" fillId="0" borderId="10" xfId="0" applyFont="1" applyBorder="1" applyAlignment="1">
      <alignment wrapText="1"/>
    </xf>
    <xf numFmtId="0" fontId="0" fillId="0" borderId="10" xfId="0" applyBorder="1" applyAlignment="1">
      <alignment horizontal="left" vertical="justify" wrapText="1"/>
    </xf>
    <xf numFmtId="0" fontId="12" fillId="0" borderId="5" xfId="0" applyFont="1" applyBorder="1" applyAlignment="1">
      <alignment horizontal="left" vertical="justify" wrapText="1"/>
    </xf>
    <xf numFmtId="0" fontId="4" fillId="0" borderId="5" xfId="0" applyFont="1" applyBorder="1" applyAlignment="1">
      <alignment horizontal="left" wrapText="1"/>
    </xf>
    <xf numFmtId="0" fontId="7" fillId="0" borderId="10" xfId="0" applyFont="1" applyBorder="1" applyAlignment="1">
      <alignment horizontal="left" wrapText="1"/>
    </xf>
    <xf numFmtId="0" fontId="9" fillId="0" borderId="5" xfId="0" applyFont="1" applyBorder="1" applyAlignment="1">
      <alignment horizontal="left" vertical="justify" wrapText="1"/>
    </xf>
    <xf numFmtId="0" fontId="6" fillId="0" borderId="5" xfId="0" applyFont="1" applyBorder="1" applyAlignment="1">
      <alignment horizontal="left" wrapText="1"/>
    </xf>
    <xf numFmtId="0" fontId="22" fillId="0" borderId="5" xfId="0" applyFont="1" applyBorder="1" applyAlignment="1">
      <alignment horizontal="center" wrapText="1"/>
    </xf>
    <xf numFmtId="0" fontId="22" fillId="0" borderId="10" xfId="0" applyFont="1" applyBorder="1" applyAlignment="1">
      <alignment horizontal="center" wrapText="1"/>
    </xf>
    <xf numFmtId="0" fontId="22" fillId="0" borderId="5" xfId="0" applyFont="1" applyBorder="1" applyAlignment="1">
      <alignment horizontal="right" wrapText="1"/>
    </xf>
    <xf numFmtId="0" fontId="21" fillId="0" borderId="10" xfId="0" applyFont="1" applyBorder="1" applyAlignment="1">
      <alignment horizontal="right"/>
    </xf>
    <xf numFmtId="0" fontId="25" fillId="0" borderId="13" xfId="0" applyFont="1" applyBorder="1"/>
    <xf numFmtId="0" fontId="29" fillId="0" borderId="5" xfId="0" applyFont="1" applyBorder="1" applyAlignment="1">
      <alignment horizontal="center" wrapText="1"/>
    </xf>
    <xf numFmtId="0" fontId="29" fillId="0" borderId="8" xfId="0" applyFont="1" applyBorder="1" applyAlignment="1">
      <alignment horizontal="center" wrapText="1"/>
    </xf>
    <xf numFmtId="0" fontId="28" fillId="0" borderId="8" xfId="0" applyFont="1" applyBorder="1"/>
    <xf numFmtId="0" fontId="28" fillId="0" borderId="10" xfId="0" applyFont="1" applyBorder="1"/>
    <xf numFmtId="0" fontId="11" fillId="0" borderId="10" xfId="0" applyFont="1" applyBorder="1" applyAlignment="1">
      <alignment horizontal="left" wrapText="1"/>
    </xf>
    <xf numFmtId="0" fontId="22" fillId="2" borderId="5" xfId="0" applyFont="1" applyFill="1" applyBorder="1" applyAlignment="1">
      <alignment horizontal="center" wrapText="1"/>
    </xf>
    <xf numFmtId="0" fontId="22" fillId="2" borderId="10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left" wrapText="1"/>
    </xf>
    <xf numFmtId="0" fontId="29" fillId="0" borderId="5" xfId="0" applyFont="1" applyBorder="1" applyAlignment="1">
      <alignment horizontal="right"/>
    </xf>
    <xf numFmtId="0" fontId="29" fillId="0" borderId="8" xfId="0" applyFont="1" applyBorder="1" applyAlignment="1">
      <alignment horizontal="right"/>
    </xf>
    <xf numFmtId="0" fontId="10" fillId="0" borderId="5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22" fillId="2" borderId="6" xfId="0" applyFont="1" applyFill="1" applyBorder="1" applyAlignment="1">
      <alignment horizontal="left" wrapText="1"/>
    </xf>
    <xf numFmtId="0" fontId="22" fillId="2" borderId="12" xfId="0" applyFont="1" applyFill="1" applyBorder="1" applyAlignment="1">
      <alignment horizontal="left" wrapText="1"/>
    </xf>
    <xf numFmtId="0" fontId="21" fillId="0" borderId="7" xfId="0" applyFont="1" applyBorder="1" applyAlignment="1">
      <alignment wrapText="1"/>
    </xf>
    <xf numFmtId="0" fontId="21" fillId="0" borderId="9" xfId="0" applyFont="1" applyBorder="1" applyAlignment="1">
      <alignment wrapText="1"/>
    </xf>
    <xf numFmtId="0" fontId="10" fillId="0" borderId="5" xfId="0" applyFont="1" applyBorder="1" applyAlignment="1">
      <alignment horizontal="left" vertical="justify" wrapText="1" readingOrder="1"/>
    </xf>
    <xf numFmtId="0" fontId="21" fillId="0" borderId="10" xfId="0" applyFont="1" applyBorder="1" applyAlignment="1">
      <alignment horizontal="left" vertical="justify" wrapText="1" readingOrder="1"/>
    </xf>
    <xf numFmtId="0" fontId="22" fillId="2" borderId="1" xfId="0" applyFont="1" applyFill="1" applyBorder="1" applyAlignment="1">
      <alignment horizontal="center"/>
    </xf>
    <xf numFmtId="0" fontId="22" fillId="0" borderId="8" xfId="0" applyFont="1" applyBorder="1" applyAlignment="1">
      <alignment horizontal="center" wrapText="1"/>
    </xf>
    <xf numFmtId="0" fontId="21" fillId="0" borderId="10" xfId="0" applyFont="1" applyBorder="1"/>
    <xf numFmtId="0" fontId="22" fillId="2" borderId="1" xfId="0" applyFont="1" applyFill="1" applyBorder="1" applyAlignment="1">
      <alignment horizontal="center" wrapText="1"/>
    </xf>
    <xf numFmtId="0" fontId="10" fillId="0" borderId="10" xfId="0" applyFont="1" applyBorder="1" applyAlignment="1">
      <alignment horizontal="left" vertical="justify" wrapText="1"/>
    </xf>
    <xf numFmtId="0" fontId="4" fillId="0" borderId="10" xfId="0" applyFont="1" applyBorder="1" applyAlignment="1">
      <alignment horizontal="left" wrapText="1"/>
    </xf>
    <xf numFmtId="0" fontId="4" fillId="0" borderId="5" xfId="0" applyFont="1" applyBorder="1" applyAlignment="1">
      <alignment horizontal="right" wrapText="1"/>
    </xf>
    <xf numFmtId="0" fontId="4" fillId="0" borderId="8" xfId="0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0" fontId="4" fillId="0" borderId="8" xfId="0" applyFont="1" applyBorder="1"/>
    <xf numFmtId="0" fontId="32" fillId="0" borderId="5" xfId="0" applyFont="1" applyBorder="1" applyAlignment="1">
      <alignment horizontal="right"/>
    </xf>
    <xf numFmtId="0" fontId="0" fillId="0" borderId="8" xfId="0" applyBorder="1"/>
    <xf numFmtId="0" fontId="13" fillId="0" borderId="5" xfId="0" applyFont="1" applyBorder="1" applyAlignment="1">
      <alignment horizontal="left" wrapText="1"/>
    </xf>
    <xf numFmtId="0" fontId="8" fillId="0" borderId="5" xfId="0" applyFont="1" applyBorder="1" applyAlignment="1">
      <alignment horizontal="left" vertical="justify" wrapText="1"/>
    </xf>
    <xf numFmtId="0" fontId="16" fillId="0" borderId="5" xfId="0" applyFont="1" applyBorder="1" applyAlignment="1">
      <alignment horizontal="left" vertical="justify" wrapText="1"/>
    </xf>
    <xf numFmtId="0" fontId="0" fillId="0" borderId="10" xfId="0" applyBorder="1" applyAlignment="1">
      <alignment horizontal="left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/>
    <xf numFmtId="0" fontId="1" fillId="0" borderId="5" xfId="0" applyFont="1" applyBorder="1" applyAlignment="1">
      <alignment horizontal="left" wrapText="1"/>
    </xf>
  </cellXfs>
  <cellStyles count="2">
    <cellStyle name="Normaallaad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P124"/>
  <sheetViews>
    <sheetView tabSelected="1" topLeftCell="B1" workbookViewId="0">
      <pane ySplit="3264" topLeftCell="A72" activePane="bottomLeft"/>
      <selection activeCell="P7" sqref="P1:P1048576"/>
      <selection pane="bottomLeft" activeCell="E80" sqref="E80:F80"/>
    </sheetView>
  </sheetViews>
  <sheetFormatPr defaultRowHeight="14.4" x14ac:dyDescent="0.3"/>
  <cols>
    <col min="2" max="2" width="3.44140625" customWidth="1"/>
    <col min="4" max="4" width="6.88671875" customWidth="1"/>
    <col min="5" max="5" width="9" customWidth="1"/>
    <col min="6" max="6" width="25.88671875" customWidth="1"/>
    <col min="7" max="7" width="8.88671875" customWidth="1"/>
    <col min="8" max="8" width="7.6640625" customWidth="1"/>
    <col min="9" max="9" width="9.88671875" customWidth="1"/>
    <col min="10" max="10" width="11" customWidth="1"/>
    <col min="11" max="11" width="10.88671875" customWidth="1"/>
    <col min="12" max="12" width="8.88671875" customWidth="1"/>
    <col min="13" max="13" width="9.33203125" customWidth="1"/>
    <col min="14" max="14" width="9.44140625" customWidth="1"/>
    <col min="15" max="15" width="8.6640625" customWidth="1"/>
    <col min="16" max="16" width="16.6640625" customWidth="1"/>
  </cols>
  <sheetData>
    <row r="1" spans="3:16" ht="34.5" customHeight="1" x14ac:dyDescent="0.3">
      <c r="C1" s="14"/>
      <c r="D1" s="111" t="s">
        <v>66</v>
      </c>
      <c r="E1" s="112"/>
      <c r="F1" s="112"/>
      <c r="G1" s="112"/>
      <c r="H1" s="112"/>
      <c r="I1" s="112"/>
      <c r="J1" s="112"/>
      <c r="K1" s="112"/>
    </row>
    <row r="2" spans="3:16" ht="57.75" customHeight="1" x14ac:dyDescent="0.3">
      <c r="C2" s="152" t="s">
        <v>0</v>
      </c>
      <c r="D2" s="19"/>
      <c r="E2" s="143" t="s">
        <v>5</v>
      </c>
      <c r="F2" s="144"/>
      <c r="G2" s="149" t="s">
        <v>1</v>
      </c>
      <c r="H2" s="149" t="s">
        <v>2</v>
      </c>
      <c r="I2" s="152" t="s">
        <v>113</v>
      </c>
      <c r="J2" s="136" t="s">
        <v>57</v>
      </c>
      <c r="K2" s="137"/>
    </row>
    <row r="3" spans="3:16" ht="43.95" customHeight="1" x14ac:dyDescent="0.3">
      <c r="C3" s="152"/>
      <c r="D3" s="20" t="s">
        <v>52</v>
      </c>
      <c r="E3" s="145"/>
      <c r="F3" s="146"/>
      <c r="G3" s="149"/>
      <c r="H3" s="149"/>
      <c r="I3" s="152"/>
      <c r="J3" s="27" t="s">
        <v>127</v>
      </c>
      <c r="K3" s="27" t="s">
        <v>128</v>
      </c>
    </row>
    <row r="4" spans="3:16" ht="15" customHeight="1" x14ac:dyDescent="0.3">
      <c r="C4" s="126" t="s">
        <v>115</v>
      </c>
      <c r="D4" s="150"/>
      <c r="E4" s="95"/>
      <c r="F4" s="95"/>
      <c r="G4" s="95"/>
      <c r="H4" s="95"/>
      <c r="I4" s="95"/>
      <c r="J4" s="95"/>
      <c r="K4" s="151"/>
    </row>
    <row r="5" spans="3:16" ht="50.25" customHeight="1" x14ac:dyDescent="0.3">
      <c r="C5" s="21"/>
      <c r="D5" s="39" t="s">
        <v>80</v>
      </c>
      <c r="E5" s="118" t="s">
        <v>120</v>
      </c>
      <c r="F5" s="119"/>
      <c r="G5" s="17"/>
      <c r="H5" s="17"/>
      <c r="I5" s="22"/>
      <c r="J5" s="22"/>
      <c r="K5" s="22"/>
      <c r="L5" s="32" t="s">
        <v>61</v>
      </c>
      <c r="M5" s="32" t="s">
        <v>62</v>
      </c>
      <c r="N5" s="35" t="s">
        <v>63</v>
      </c>
      <c r="O5" s="36" t="s">
        <v>65</v>
      </c>
      <c r="P5" s="9"/>
    </row>
    <row r="6" spans="3:16" ht="16.5" customHeight="1" x14ac:dyDescent="0.3">
      <c r="C6" s="21"/>
      <c r="D6" s="21"/>
      <c r="E6" s="118" t="s">
        <v>101</v>
      </c>
      <c r="F6" s="119"/>
      <c r="G6" s="17"/>
      <c r="H6" s="17"/>
      <c r="I6" s="22"/>
      <c r="J6" s="22"/>
      <c r="K6" s="22"/>
      <c r="L6" s="32"/>
      <c r="M6" s="32"/>
      <c r="N6" s="35"/>
      <c r="O6" s="36"/>
    </row>
    <row r="7" spans="3:16" ht="28.95" customHeight="1" x14ac:dyDescent="0.3">
      <c r="C7" s="21">
        <f t="shared" ref="C7:C8" si="0">+C6+1</f>
        <v>1</v>
      </c>
      <c r="D7" s="21"/>
      <c r="E7" s="115" t="s">
        <v>110</v>
      </c>
      <c r="F7" s="120"/>
      <c r="G7" s="46" t="s">
        <v>24</v>
      </c>
      <c r="H7" s="17">
        <v>1</v>
      </c>
      <c r="I7" s="50">
        <v>5500</v>
      </c>
      <c r="J7" s="15">
        <f t="shared" ref="J7:J9" si="1">I7*H7</f>
        <v>5500</v>
      </c>
      <c r="K7" s="22"/>
      <c r="L7" s="47">
        <f t="shared" ref="L7" si="2">+J7*1.2</f>
        <v>6600</v>
      </c>
      <c r="M7" s="47"/>
      <c r="N7" s="48"/>
      <c r="O7" s="49"/>
    </row>
    <row r="8" spans="3:16" ht="30" customHeight="1" x14ac:dyDescent="0.3">
      <c r="C8" s="21">
        <f t="shared" si="0"/>
        <v>2</v>
      </c>
      <c r="D8" s="21"/>
      <c r="E8" s="115" t="s">
        <v>67</v>
      </c>
      <c r="F8" s="120"/>
      <c r="G8" s="38" t="s">
        <v>3</v>
      </c>
      <c r="H8" s="17">
        <v>1</v>
      </c>
      <c r="I8" s="50">
        <v>5000</v>
      </c>
      <c r="J8" s="15">
        <f t="shared" si="1"/>
        <v>5000</v>
      </c>
      <c r="K8" s="22"/>
      <c r="L8" s="47"/>
      <c r="M8" s="47">
        <f>+J8*1.2</f>
        <v>6000</v>
      </c>
      <c r="N8" s="48"/>
      <c r="O8" s="48"/>
    </row>
    <row r="9" spans="3:16" ht="85.2" customHeight="1" x14ac:dyDescent="0.3">
      <c r="C9" s="21">
        <f>+C8+1</f>
        <v>3</v>
      </c>
      <c r="D9" s="21"/>
      <c r="E9" s="113" t="s">
        <v>78</v>
      </c>
      <c r="F9" s="114"/>
      <c r="G9" s="17" t="s">
        <v>24</v>
      </c>
      <c r="H9" s="23">
        <v>1</v>
      </c>
      <c r="I9" s="15">
        <v>28000</v>
      </c>
      <c r="J9" s="15">
        <f t="shared" si="1"/>
        <v>28000</v>
      </c>
      <c r="K9" s="22"/>
      <c r="L9" s="47"/>
      <c r="M9" s="47">
        <f>+J9*1.2</f>
        <v>33600</v>
      </c>
      <c r="N9" s="48">
        <f>+L9*0.0667</f>
        <v>0</v>
      </c>
      <c r="O9" s="48">
        <f>+M9*0.025</f>
        <v>840</v>
      </c>
    </row>
    <row r="10" spans="3:16" ht="58.95" customHeight="1" x14ac:dyDescent="0.3">
      <c r="C10" s="21">
        <f t="shared" ref="C10:C16" si="3">+C9+1</f>
        <v>4</v>
      </c>
      <c r="D10" s="21"/>
      <c r="E10" s="147" t="s">
        <v>102</v>
      </c>
      <c r="F10" s="148"/>
      <c r="G10" s="28" t="s">
        <v>55</v>
      </c>
      <c r="H10" s="23">
        <v>1</v>
      </c>
      <c r="I10" s="15">
        <v>6000</v>
      </c>
      <c r="J10" s="15">
        <f t="shared" ref="J10:J36" si="4">I10*H10</f>
        <v>6000</v>
      </c>
      <c r="K10" s="22"/>
      <c r="L10" s="47">
        <f t="shared" ref="L10:L15" si="5">+J10*1.2</f>
        <v>7200</v>
      </c>
      <c r="M10" s="47"/>
      <c r="N10" s="48">
        <f t="shared" ref="N10:N69" si="6">+L10*0.0667</f>
        <v>480.23999999999995</v>
      </c>
      <c r="O10" s="48">
        <f t="shared" ref="O10:O39" si="7">+M10*0.025</f>
        <v>0</v>
      </c>
    </row>
    <row r="11" spans="3:16" ht="72" customHeight="1" x14ac:dyDescent="0.3">
      <c r="C11" s="21">
        <f t="shared" si="3"/>
        <v>5</v>
      </c>
      <c r="D11" s="21"/>
      <c r="E11" s="108" t="s">
        <v>95</v>
      </c>
      <c r="F11" s="93"/>
      <c r="G11" s="28" t="s">
        <v>55</v>
      </c>
      <c r="H11" s="23">
        <v>1</v>
      </c>
      <c r="I11" s="15">
        <v>5500</v>
      </c>
      <c r="J11" s="15">
        <f t="shared" si="4"/>
        <v>5500</v>
      </c>
      <c r="K11" s="22"/>
      <c r="L11" s="47"/>
      <c r="M11" s="47">
        <f t="shared" ref="M11" si="8">+J11*1.2</f>
        <v>6600</v>
      </c>
      <c r="N11" s="48">
        <f t="shared" si="6"/>
        <v>0</v>
      </c>
      <c r="O11" s="48">
        <f t="shared" si="7"/>
        <v>165</v>
      </c>
    </row>
    <row r="12" spans="3:16" ht="30" customHeight="1" x14ac:dyDescent="0.3">
      <c r="C12" s="21">
        <f t="shared" si="3"/>
        <v>6</v>
      </c>
      <c r="D12" s="21"/>
      <c r="E12" s="141" t="s">
        <v>53</v>
      </c>
      <c r="F12" s="93"/>
      <c r="G12" s="21" t="s">
        <v>3</v>
      </c>
      <c r="H12" s="23">
        <v>1</v>
      </c>
      <c r="I12" s="15">
        <v>1200</v>
      </c>
      <c r="J12" s="15">
        <f t="shared" si="4"/>
        <v>1200</v>
      </c>
      <c r="K12" s="22"/>
      <c r="L12" s="47">
        <f t="shared" si="5"/>
        <v>1440</v>
      </c>
      <c r="M12" s="47"/>
      <c r="N12" s="48">
        <f t="shared" si="6"/>
        <v>96.047999999999988</v>
      </c>
      <c r="O12" s="48">
        <f t="shared" si="7"/>
        <v>0</v>
      </c>
    </row>
    <row r="13" spans="3:16" ht="30.75" customHeight="1" x14ac:dyDescent="0.3">
      <c r="C13" s="21">
        <f t="shared" si="3"/>
        <v>7</v>
      </c>
      <c r="D13" s="21"/>
      <c r="E13" s="108" t="s">
        <v>54</v>
      </c>
      <c r="F13" s="93"/>
      <c r="G13" s="21" t="s">
        <v>3</v>
      </c>
      <c r="H13" s="23">
        <v>1</v>
      </c>
      <c r="I13" s="15">
        <v>300</v>
      </c>
      <c r="J13" s="15">
        <f t="shared" si="4"/>
        <v>300</v>
      </c>
      <c r="K13" s="22"/>
      <c r="L13" s="47">
        <f t="shared" si="5"/>
        <v>360</v>
      </c>
      <c r="M13" s="47"/>
      <c r="N13" s="48">
        <f t="shared" si="6"/>
        <v>24.011999999999997</v>
      </c>
      <c r="O13" s="48">
        <f t="shared" si="7"/>
        <v>0</v>
      </c>
    </row>
    <row r="14" spans="3:16" ht="30" customHeight="1" x14ac:dyDescent="0.3">
      <c r="C14" s="21">
        <f t="shared" si="3"/>
        <v>8</v>
      </c>
      <c r="D14" s="21"/>
      <c r="E14" s="108" t="s">
        <v>56</v>
      </c>
      <c r="F14" s="93"/>
      <c r="G14" s="28" t="s">
        <v>3</v>
      </c>
      <c r="H14" s="23">
        <v>1</v>
      </c>
      <c r="I14" s="15">
        <v>800</v>
      </c>
      <c r="J14" s="15">
        <f t="shared" si="4"/>
        <v>800</v>
      </c>
      <c r="K14" s="22"/>
      <c r="L14" s="47">
        <f t="shared" si="5"/>
        <v>960</v>
      </c>
      <c r="M14" s="47"/>
      <c r="N14" s="48">
        <f t="shared" si="6"/>
        <v>64.031999999999996</v>
      </c>
      <c r="O14" s="48">
        <f t="shared" si="7"/>
        <v>0</v>
      </c>
    </row>
    <row r="15" spans="3:16" ht="77.25" customHeight="1" x14ac:dyDescent="0.3">
      <c r="C15" s="21">
        <f t="shared" si="3"/>
        <v>9</v>
      </c>
      <c r="D15" s="21"/>
      <c r="E15" s="115" t="s">
        <v>103</v>
      </c>
      <c r="F15" s="101"/>
      <c r="G15" s="28" t="s">
        <v>55</v>
      </c>
      <c r="H15" s="23">
        <v>1</v>
      </c>
      <c r="I15" s="15">
        <v>10000</v>
      </c>
      <c r="J15" s="15">
        <f t="shared" si="4"/>
        <v>10000</v>
      </c>
      <c r="K15" s="22"/>
      <c r="L15" s="32">
        <f t="shared" si="5"/>
        <v>12000</v>
      </c>
      <c r="M15" s="32"/>
      <c r="N15" s="33">
        <f t="shared" si="6"/>
        <v>800.4</v>
      </c>
      <c r="O15" s="33">
        <f t="shared" si="7"/>
        <v>0</v>
      </c>
    </row>
    <row r="16" spans="3:16" ht="43.95" customHeight="1" x14ac:dyDescent="0.3">
      <c r="C16" s="21">
        <f t="shared" si="3"/>
        <v>10</v>
      </c>
      <c r="D16" s="21"/>
      <c r="E16" s="115" t="s">
        <v>68</v>
      </c>
      <c r="F16" s="153"/>
      <c r="G16" s="39" t="s">
        <v>24</v>
      </c>
      <c r="H16" s="23">
        <v>1</v>
      </c>
      <c r="I16" s="15">
        <v>7500</v>
      </c>
      <c r="J16" s="15">
        <f t="shared" ref="J16" si="9">I16*H16</f>
        <v>7500</v>
      </c>
      <c r="K16" s="22"/>
      <c r="L16" s="32"/>
      <c r="M16" s="32">
        <f t="shared" ref="M16" si="10">+J16*1.2</f>
        <v>9000</v>
      </c>
      <c r="N16" s="48"/>
      <c r="O16" s="33">
        <f t="shared" si="7"/>
        <v>225</v>
      </c>
    </row>
    <row r="17" spans="3:15" ht="43.5" customHeight="1" x14ac:dyDescent="0.3">
      <c r="C17" s="21"/>
      <c r="D17" s="21"/>
      <c r="E17" s="118" t="s">
        <v>104</v>
      </c>
      <c r="F17" s="119"/>
      <c r="G17" s="28"/>
      <c r="H17" s="23"/>
      <c r="I17" s="15"/>
      <c r="J17" s="15"/>
      <c r="K17" s="22"/>
      <c r="L17" s="32"/>
      <c r="M17" s="32"/>
      <c r="N17" s="33"/>
      <c r="O17" s="33"/>
    </row>
    <row r="18" spans="3:15" ht="30" customHeight="1" x14ac:dyDescent="0.3">
      <c r="C18" s="21">
        <v>11</v>
      </c>
      <c r="D18" s="21"/>
      <c r="E18" s="121" t="s">
        <v>67</v>
      </c>
      <c r="F18" s="120"/>
      <c r="G18" s="39" t="s">
        <v>3</v>
      </c>
      <c r="H18" s="23">
        <v>1</v>
      </c>
      <c r="I18" s="15">
        <v>5000</v>
      </c>
      <c r="J18" s="15">
        <f t="shared" si="4"/>
        <v>5000</v>
      </c>
      <c r="K18" s="22"/>
      <c r="L18" s="32"/>
      <c r="M18" s="32">
        <f t="shared" ref="M18:M19" si="11">+J18*1.2</f>
        <v>6000</v>
      </c>
      <c r="N18" s="33"/>
      <c r="O18" s="33"/>
    </row>
    <row r="19" spans="3:15" ht="108" customHeight="1" x14ac:dyDescent="0.3">
      <c r="C19" s="21">
        <f t="shared" ref="C19:C35" si="12">+C18+1</f>
        <v>12</v>
      </c>
      <c r="D19" s="21"/>
      <c r="E19" s="115" t="s">
        <v>79</v>
      </c>
      <c r="F19" s="120"/>
      <c r="G19" s="39" t="s">
        <v>24</v>
      </c>
      <c r="H19" s="23">
        <v>1</v>
      </c>
      <c r="I19" s="15">
        <v>45000</v>
      </c>
      <c r="J19" s="15">
        <f t="shared" si="4"/>
        <v>45000</v>
      </c>
      <c r="K19" s="22"/>
      <c r="L19" s="32"/>
      <c r="M19" s="32">
        <f t="shared" si="11"/>
        <v>54000</v>
      </c>
      <c r="N19" s="33">
        <f t="shared" ref="N19:N25" si="13">+L19*0.0667</f>
        <v>0</v>
      </c>
      <c r="O19" s="33">
        <f t="shared" ref="O19" si="14">+M19*0.025</f>
        <v>1350</v>
      </c>
    </row>
    <row r="20" spans="3:15" ht="60.6" customHeight="1" x14ac:dyDescent="0.3">
      <c r="C20" s="21">
        <f t="shared" si="12"/>
        <v>13</v>
      </c>
      <c r="D20" s="21"/>
      <c r="E20" s="115" t="s">
        <v>100</v>
      </c>
      <c r="F20" s="120"/>
      <c r="G20" s="39" t="s">
        <v>64</v>
      </c>
      <c r="H20" s="23">
        <v>1</v>
      </c>
      <c r="I20" s="15">
        <v>32000</v>
      </c>
      <c r="J20" s="15">
        <f t="shared" si="4"/>
        <v>32000</v>
      </c>
      <c r="K20" s="22"/>
      <c r="L20" s="32">
        <f t="shared" ref="L20:L25" si="15">+J20*1.2</f>
        <v>38400</v>
      </c>
      <c r="M20" s="32"/>
      <c r="N20" s="48">
        <f t="shared" si="13"/>
        <v>2561.2799999999997</v>
      </c>
      <c r="O20" s="33"/>
    </row>
    <row r="21" spans="3:15" ht="18.75" customHeight="1" x14ac:dyDescent="0.3">
      <c r="C21" s="21">
        <f t="shared" si="12"/>
        <v>14</v>
      </c>
      <c r="D21" s="21"/>
      <c r="E21" s="162" t="s">
        <v>111</v>
      </c>
      <c r="F21" s="120"/>
      <c r="G21" s="63" t="s">
        <v>64</v>
      </c>
      <c r="H21" s="23">
        <v>1</v>
      </c>
      <c r="I21" s="15">
        <v>25000</v>
      </c>
      <c r="J21" s="15">
        <f t="shared" si="4"/>
        <v>25000</v>
      </c>
      <c r="K21" s="22"/>
      <c r="L21" s="32">
        <f t="shared" ref="L21" si="16">+J21*1.2</f>
        <v>30000</v>
      </c>
      <c r="M21" s="32"/>
      <c r="N21" s="48">
        <f t="shared" ref="N21" si="17">+L21*0.0667</f>
        <v>2000.9999999999998</v>
      </c>
      <c r="O21" s="33"/>
    </row>
    <row r="22" spans="3:15" ht="18.75" customHeight="1" x14ac:dyDescent="0.3">
      <c r="C22" s="21">
        <f t="shared" si="12"/>
        <v>15</v>
      </c>
      <c r="D22" s="21"/>
      <c r="E22" s="163" t="s">
        <v>72</v>
      </c>
      <c r="F22" s="120"/>
      <c r="G22" s="39" t="s">
        <v>3</v>
      </c>
      <c r="H22" s="23">
        <v>1</v>
      </c>
      <c r="I22" s="15">
        <v>980</v>
      </c>
      <c r="J22" s="15">
        <f t="shared" si="4"/>
        <v>980</v>
      </c>
      <c r="K22" s="22"/>
      <c r="L22" s="32">
        <f t="shared" si="15"/>
        <v>1176</v>
      </c>
      <c r="M22" s="32"/>
      <c r="N22" s="48">
        <f t="shared" si="13"/>
        <v>78.4392</v>
      </c>
      <c r="O22" s="33"/>
    </row>
    <row r="23" spans="3:15" ht="15.75" customHeight="1" x14ac:dyDescent="0.3">
      <c r="C23" s="21">
        <f t="shared" si="12"/>
        <v>16</v>
      </c>
      <c r="D23" s="21"/>
      <c r="E23" s="163" t="s">
        <v>73</v>
      </c>
      <c r="F23" s="120"/>
      <c r="G23" s="39" t="s">
        <v>3</v>
      </c>
      <c r="H23" s="23">
        <v>1</v>
      </c>
      <c r="I23" s="15">
        <v>300</v>
      </c>
      <c r="J23" s="15">
        <f t="shared" si="4"/>
        <v>300</v>
      </c>
      <c r="K23" s="22"/>
      <c r="L23" s="32">
        <f t="shared" si="15"/>
        <v>360</v>
      </c>
      <c r="M23" s="32"/>
      <c r="N23" s="48">
        <f t="shared" si="13"/>
        <v>24.011999999999997</v>
      </c>
      <c r="O23" s="33"/>
    </row>
    <row r="24" spans="3:15" ht="31.5" customHeight="1" x14ac:dyDescent="0.3">
      <c r="C24" s="21">
        <f t="shared" si="12"/>
        <v>17</v>
      </c>
      <c r="D24" s="21"/>
      <c r="E24" s="121" t="s">
        <v>74</v>
      </c>
      <c r="F24" s="120"/>
      <c r="G24" s="39" t="s">
        <v>3</v>
      </c>
      <c r="H24" s="23">
        <v>2</v>
      </c>
      <c r="I24" s="15">
        <v>400</v>
      </c>
      <c r="J24" s="15">
        <f t="shared" si="4"/>
        <v>800</v>
      </c>
      <c r="K24" s="22"/>
      <c r="L24" s="32">
        <f t="shared" si="15"/>
        <v>960</v>
      </c>
      <c r="M24" s="32"/>
      <c r="N24" s="48">
        <f t="shared" si="13"/>
        <v>64.031999999999996</v>
      </c>
      <c r="O24" s="33"/>
    </row>
    <row r="25" spans="3:15" ht="32.25" customHeight="1" x14ac:dyDescent="0.3">
      <c r="C25" s="21">
        <f t="shared" si="12"/>
        <v>18</v>
      </c>
      <c r="D25" s="21"/>
      <c r="E25" s="121" t="s">
        <v>53</v>
      </c>
      <c r="F25" s="120"/>
      <c r="G25" s="39" t="s">
        <v>3</v>
      </c>
      <c r="H25" s="23">
        <v>1</v>
      </c>
      <c r="I25" s="15">
        <v>1300</v>
      </c>
      <c r="J25" s="15">
        <f t="shared" si="4"/>
        <v>1300</v>
      </c>
      <c r="K25" s="22"/>
      <c r="L25" s="32">
        <f t="shared" si="15"/>
        <v>1560</v>
      </c>
      <c r="M25" s="32"/>
      <c r="N25" s="48">
        <f t="shared" si="13"/>
        <v>104.05199999999999</v>
      </c>
      <c r="O25" s="33"/>
    </row>
    <row r="26" spans="3:15" ht="43.95" customHeight="1" x14ac:dyDescent="0.3">
      <c r="C26" s="21">
        <f t="shared" si="12"/>
        <v>19</v>
      </c>
      <c r="D26" s="21"/>
      <c r="E26" s="121" t="s">
        <v>96</v>
      </c>
      <c r="F26" s="120"/>
      <c r="G26" s="39" t="s">
        <v>64</v>
      </c>
      <c r="H26" s="23">
        <v>1</v>
      </c>
      <c r="I26" s="15">
        <v>5500</v>
      </c>
      <c r="J26" s="15">
        <f t="shared" si="4"/>
        <v>5500</v>
      </c>
      <c r="K26" s="22"/>
      <c r="L26" s="32"/>
      <c r="M26" s="32">
        <f t="shared" ref="M26:M29" si="18">+J26*1.2</f>
        <v>6600</v>
      </c>
      <c r="N26" s="48">
        <f t="shared" ref="N26:N29" si="19">+L26*0.0667</f>
        <v>0</v>
      </c>
      <c r="O26" s="33">
        <f t="shared" ref="O26:O29" si="20">+M26*0.025</f>
        <v>165</v>
      </c>
    </row>
    <row r="27" spans="3:15" ht="31.95" customHeight="1" x14ac:dyDescent="0.3">
      <c r="C27" s="21">
        <f t="shared" si="12"/>
        <v>20</v>
      </c>
      <c r="D27" s="21"/>
      <c r="E27" s="115" t="s">
        <v>77</v>
      </c>
      <c r="F27" s="120"/>
      <c r="G27" s="39" t="s">
        <v>75</v>
      </c>
      <c r="H27" s="23">
        <v>10</v>
      </c>
      <c r="I27" s="15">
        <v>1000</v>
      </c>
      <c r="J27" s="15">
        <f t="shared" si="4"/>
        <v>10000</v>
      </c>
      <c r="K27" s="22"/>
      <c r="L27" s="32"/>
      <c r="M27" s="32">
        <f t="shared" si="18"/>
        <v>12000</v>
      </c>
      <c r="N27" s="48">
        <f t="shared" si="19"/>
        <v>0</v>
      </c>
      <c r="O27" s="33">
        <f t="shared" si="20"/>
        <v>300</v>
      </c>
    </row>
    <row r="28" spans="3:15" ht="29.4" customHeight="1" x14ac:dyDescent="0.3">
      <c r="C28" s="21">
        <f t="shared" si="12"/>
        <v>21</v>
      </c>
      <c r="D28" s="21"/>
      <c r="E28" s="115" t="s">
        <v>69</v>
      </c>
      <c r="F28" s="120"/>
      <c r="G28" s="39" t="s">
        <v>64</v>
      </c>
      <c r="H28" s="23">
        <v>1</v>
      </c>
      <c r="I28" s="15">
        <v>1000</v>
      </c>
      <c r="J28" s="15">
        <f t="shared" si="4"/>
        <v>1000</v>
      </c>
      <c r="K28" s="22"/>
      <c r="L28" s="32"/>
      <c r="M28" s="32">
        <f t="shared" si="18"/>
        <v>1200</v>
      </c>
      <c r="N28" s="48">
        <f t="shared" si="19"/>
        <v>0</v>
      </c>
      <c r="O28" s="33">
        <f t="shared" si="20"/>
        <v>30</v>
      </c>
    </row>
    <row r="29" spans="3:15" ht="18.75" customHeight="1" x14ac:dyDescent="0.3">
      <c r="C29" s="21">
        <f t="shared" si="12"/>
        <v>22</v>
      </c>
      <c r="D29" s="21"/>
      <c r="E29" s="115" t="s">
        <v>70</v>
      </c>
      <c r="F29" s="120"/>
      <c r="G29" s="39" t="s">
        <v>64</v>
      </c>
      <c r="H29" s="23">
        <v>1</v>
      </c>
      <c r="I29" s="15">
        <v>250</v>
      </c>
      <c r="J29" s="15">
        <f t="shared" si="4"/>
        <v>250</v>
      </c>
      <c r="K29" s="22"/>
      <c r="L29" s="32"/>
      <c r="M29" s="32">
        <f t="shared" si="18"/>
        <v>300</v>
      </c>
      <c r="N29" s="48">
        <f t="shared" si="19"/>
        <v>0</v>
      </c>
      <c r="O29" s="33">
        <f t="shared" si="20"/>
        <v>7.5</v>
      </c>
    </row>
    <row r="30" spans="3:15" ht="61.5" customHeight="1" x14ac:dyDescent="0.3">
      <c r="C30" s="21">
        <f t="shared" si="12"/>
        <v>23</v>
      </c>
      <c r="D30" s="21"/>
      <c r="E30" s="115" t="s">
        <v>86</v>
      </c>
      <c r="F30" s="120"/>
      <c r="G30" s="39" t="s">
        <v>64</v>
      </c>
      <c r="H30" s="23">
        <v>1</v>
      </c>
      <c r="I30" s="15">
        <v>6000</v>
      </c>
      <c r="J30" s="15">
        <f t="shared" si="4"/>
        <v>6000</v>
      </c>
      <c r="K30" s="22"/>
      <c r="L30" s="32">
        <f t="shared" ref="L30:L33" si="21">+J30*1.2</f>
        <v>7200</v>
      </c>
      <c r="M30" s="32"/>
      <c r="N30" s="48">
        <f t="shared" ref="N30:N34" si="22">+L30*0.0667</f>
        <v>480.23999999999995</v>
      </c>
      <c r="O30" s="33"/>
    </row>
    <row r="31" spans="3:15" ht="72.599999999999994" customHeight="1" x14ac:dyDescent="0.3">
      <c r="C31" s="21">
        <f t="shared" si="12"/>
        <v>24</v>
      </c>
      <c r="D31" s="21"/>
      <c r="E31" s="124" t="s">
        <v>112</v>
      </c>
      <c r="F31" s="120"/>
      <c r="G31" s="39" t="s">
        <v>64</v>
      </c>
      <c r="H31" s="23">
        <v>3</v>
      </c>
      <c r="I31" s="15">
        <v>2300</v>
      </c>
      <c r="J31" s="15">
        <f t="shared" si="4"/>
        <v>6900</v>
      </c>
      <c r="K31" s="22"/>
      <c r="L31" s="32">
        <f t="shared" si="21"/>
        <v>8280</v>
      </c>
      <c r="M31" s="32"/>
      <c r="N31" s="48">
        <f t="shared" si="22"/>
        <v>552.27599999999995</v>
      </c>
      <c r="O31" s="33"/>
    </row>
    <row r="32" spans="3:15" ht="30" customHeight="1" x14ac:dyDescent="0.3">
      <c r="C32" s="21">
        <f t="shared" si="12"/>
        <v>25</v>
      </c>
      <c r="D32" s="21"/>
      <c r="E32" s="108" t="s">
        <v>56</v>
      </c>
      <c r="F32" s="93"/>
      <c r="G32" s="28" t="s">
        <v>3</v>
      </c>
      <c r="H32" s="23">
        <v>1</v>
      </c>
      <c r="I32" s="15">
        <v>800</v>
      </c>
      <c r="J32" s="15">
        <f t="shared" si="4"/>
        <v>800</v>
      </c>
      <c r="K32" s="22"/>
      <c r="L32" s="32">
        <f t="shared" si="21"/>
        <v>960</v>
      </c>
      <c r="M32" s="32"/>
      <c r="N32" s="48">
        <f t="shared" si="22"/>
        <v>64.031999999999996</v>
      </c>
      <c r="O32" s="33"/>
    </row>
    <row r="33" spans="3:16" ht="30.75" customHeight="1" x14ac:dyDescent="0.3">
      <c r="C33" s="21">
        <f t="shared" si="12"/>
        <v>26</v>
      </c>
      <c r="D33" s="21"/>
      <c r="E33" s="121" t="s">
        <v>71</v>
      </c>
      <c r="F33" s="120"/>
      <c r="G33" s="39" t="s">
        <v>64</v>
      </c>
      <c r="H33" s="23">
        <v>1</v>
      </c>
      <c r="I33" s="15">
        <v>1100</v>
      </c>
      <c r="J33" s="15">
        <f t="shared" si="4"/>
        <v>1100</v>
      </c>
      <c r="K33" s="22"/>
      <c r="L33" s="32">
        <f t="shared" si="21"/>
        <v>1320</v>
      </c>
      <c r="M33" s="32"/>
      <c r="N33" s="48">
        <f t="shared" si="22"/>
        <v>88.043999999999997</v>
      </c>
      <c r="O33" s="33"/>
    </row>
    <row r="34" spans="3:16" ht="29.25" customHeight="1" x14ac:dyDescent="0.3">
      <c r="C34" s="21">
        <f t="shared" si="12"/>
        <v>27</v>
      </c>
      <c r="D34" s="21"/>
      <c r="E34" s="121" t="s">
        <v>76</v>
      </c>
      <c r="F34" s="120"/>
      <c r="G34" s="39" t="s">
        <v>7</v>
      </c>
      <c r="H34" s="23">
        <v>30</v>
      </c>
      <c r="I34" s="15">
        <v>130</v>
      </c>
      <c r="J34" s="15">
        <f t="shared" si="4"/>
        <v>3900</v>
      </c>
      <c r="K34" s="22"/>
      <c r="L34" s="32"/>
      <c r="M34" s="32">
        <f t="shared" ref="M34" si="23">+J34*1.2</f>
        <v>4680</v>
      </c>
      <c r="N34" s="48">
        <f t="shared" si="22"/>
        <v>0</v>
      </c>
      <c r="O34" s="33">
        <f t="shared" ref="O34" si="24">+M34*0.025</f>
        <v>117</v>
      </c>
    </row>
    <row r="35" spans="3:16" ht="76.5" customHeight="1" x14ac:dyDescent="0.3">
      <c r="C35" s="21">
        <f t="shared" si="12"/>
        <v>28</v>
      </c>
      <c r="D35" s="21"/>
      <c r="E35" s="115" t="s">
        <v>60</v>
      </c>
      <c r="F35" s="101"/>
      <c r="G35" s="28" t="s">
        <v>55</v>
      </c>
      <c r="H35" s="23">
        <v>1</v>
      </c>
      <c r="I35" s="15">
        <v>8000</v>
      </c>
      <c r="J35" s="15">
        <f t="shared" si="4"/>
        <v>8000</v>
      </c>
      <c r="K35" s="22"/>
      <c r="L35" s="32">
        <f t="shared" ref="L35" si="25">+J35*1.2</f>
        <v>9600</v>
      </c>
      <c r="M35" s="32"/>
      <c r="N35" s="48">
        <f t="shared" ref="N35" si="26">+L35*0.0667</f>
        <v>640.31999999999994</v>
      </c>
      <c r="O35" s="33"/>
    </row>
    <row r="36" spans="3:16" ht="42.6" customHeight="1" x14ac:dyDescent="0.3">
      <c r="C36" s="21">
        <f>+C35+1</f>
        <v>29</v>
      </c>
      <c r="D36" s="21"/>
      <c r="E36" s="115" t="s">
        <v>68</v>
      </c>
      <c r="F36" s="120"/>
      <c r="G36" s="39" t="s">
        <v>24</v>
      </c>
      <c r="H36" s="23">
        <v>1</v>
      </c>
      <c r="I36" s="15">
        <v>7500</v>
      </c>
      <c r="J36" s="15">
        <f t="shared" si="4"/>
        <v>7500</v>
      </c>
      <c r="K36" s="22"/>
      <c r="L36" s="32"/>
      <c r="M36" s="32">
        <f t="shared" ref="M36" si="27">+J36*1.2</f>
        <v>9000</v>
      </c>
      <c r="N36" s="48"/>
      <c r="O36" s="33">
        <f t="shared" ref="O36" si="28">+M36*0.025</f>
        <v>225</v>
      </c>
    </row>
    <row r="37" spans="3:16" ht="16.5" customHeight="1" x14ac:dyDescent="0.3">
      <c r="C37" s="104" t="s">
        <v>25</v>
      </c>
      <c r="D37" s="103"/>
      <c r="E37" s="103"/>
      <c r="F37" s="103"/>
      <c r="G37" s="103"/>
      <c r="H37" s="103"/>
      <c r="I37" s="12"/>
      <c r="J37" s="15">
        <f>SUM(J7:J36)</f>
        <v>231130</v>
      </c>
      <c r="K37" s="50"/>
      <c r="L37" s="32"/>
      <c r="M37" s="32"/>
      <c r="N37" s="48"/>
      <c r="O37" s="33"/>
    </row>
    <row r="38" spans="3:16" ht="15" customHeight="1" x14ac:dyDescent="0.3">
      <c r="C38" s="105" t="s">
        <v>45</v>
      </c>
      <c r="D38" s="106"/>
      <c r="E38" s="106"/>
      <c r="F38" s="106"/>
      <c r="G38" s="106"/>
      <c r="H38" s="106"/>
      <c r="I38" s="107"/>
      <c r="J38" s="15">
        <f>J37*0.2</f>
        <v>46226</v>
      </c>
      <c r="K38" s="50"/>
      <c r="L38" s="32"/>
      <c r="M38" s="32"/>
      <c r="N38" s="48"/>
      <c r="O38" s="33"/>
    </row>
    <row r="39" spans="3:16" ht="14.25" customHeight="1" x14ac:dyDescent="0.3">
      <c r="C39" s="102" t="s">
        <v>44</v>
      </c>
      <c r="D39" s="103"/>
      <c r="E39" s="103"/>
      <c r="F39" s="103"/>
      <c r="G39" s="103"/>
      <c r="H39" s="103"/>
      <c r="I39" s="12"/>
      <c r="J39" s="51">
        <f>+J37+J38</f>
        <v>277356</v>
      </c>
      <c r="K39" s="50"/>
      <c r="L39" s="47">
        <f>SUM(L7:L38)</f>
        <v>128376</v>
      </c>
      <c r="M39" s="47">
        <f>SUM(M7:M38)</f>
        <v>148980</v>
      </c>
      <c r="N39" s="48">
        <f t="shared" si="6"/>
        <v>8562.6791999999987</v>
      </c>
      <c r="O39" s="48">
        <f t="shared" si="7"/>
        <v>3724.5</v>
      </c>
      <c r="P39" s="65"/>
    </row>
    <row r="40" spans="3:16" ht="45" customHeight="1" x14ac:dyDescent="0.3">
      <c r="C40" s="44"/>
      <c r="D40" s="43" t="s">
        <v>82</v>
      </c>
      <c r="E40" s="126" t="s">
        <v>152</v>
      </c>
      <c r="F40" s="127"/>
      <c r="G40" s="16"/>
      <c r="H40" s="16"/>
      <c r="I40" s="12"/>
      <c r="J40" s="24"/>
      <c r="K40" s="22"/>
      <c r="L40" s="32"/>
      <c r="M40" s="32"/>
      <c r="N40" s="33"/>
      <c r="O40" s="33"/>
    </row>
    <row r="41" spans="3:16" ht="57.6" customHeight="1" x14ac:dyDescent="0.3">
      <c r="C41" s="44">
        <v>1</v>
      </c>
      <c r="D41" s="43"/>
      <c r="E41" s="138" t="s">
        <v>150</v>
      </c>
      <c r="F41" s="164"/>
      <c r="G41" s="84" t="s">
        <v>151</v>
      </c>
      <c r="H41" s="85">
        <v>2</v>
      </c>
      <c r="I41" s="86">
        <v>40000</v>
      </c>
      <c r="J41" s="87">
        <f t="shared" ref="J41" si="29">I41*H41</f>
        <v>80000</v>
      </c>
      <c r="K41" s="88"/>
      <c r="L41" s="47">
        <f t="shared" ref="L41" si="30">+J41*1.2</f>
        <v>96000</v>
      </c>
      <c r="M41" s="47"/>
      <c r="N41" s="48">
        <f t="shared" ref="N41" si="31">+L41*0.0667</f>
        <v>6403.2</v>
      </c>
      <c r="O41" s="48"/>
    </row>
    <row r="42" spans="3:16" ht="56.4" customHeight="1" x14ac:dyDescent="0.3">
      <c r="C42" s="21">
        <f t="shared" ref="C42" si="32">+C41+1</f>
        <v>2</v>
      </c>
      <c r="D42" s="16"/>
      <c r="E42" s="122" t="s">
        <v>131</v>
      </c>
      <c r="F42" s="123"/>
      <c r="G42" s="64" t="s">
        <v>55</v>
      </c>
      <c r="H42" s="17">
        <v>2</v>
      </c>
      <c r="I42" s="23">
        <v>40000</v>
      </c>
      <c r="J42" s="15">
        <f t="shared" ref="J42" si="33">I42*H42</f>
        <v>80000</v>
      </c>
      <c r="K42" s="50"/>
      <c r="L42" s="47">
        <f t="shared" ref="L42" si="34">+J42*1.2</f>
        <v>96000</v>
      </c>
      <c r="M42" s="47"/>
      <c r="N42" s="48">
        <f t="shared" ref="N42" si="35">+L42*0.0667</f>
        <v>6403.2</v>
      </c>
      <c r="O42" s="48"/>
    </row>
    <row r="43" spans="3:16" ht="14.25" customHeight="1" x14ac:dyDescent="0.3">
      <c r="C43" s="109" t="s">
        <v>25</v>
      </c>
      <c r="D43" s="106"/>
      <c r="E43" s="106"/>
      <c r="F43" s="106"/>
      <c r="G43" s="106"/>
      <c r="H43" s="23"/>
      <c r="I43" s="41"/>
      <c r="J43" s="15">
        <f>SUM(J41:J42)</f>
        <v>160000</v>
      </c>
      <c r="K43" s="52"/>
      <c r="L43" s="47"/>
      <c r="M43" s="47"/>
      <c r="N43" s="48"/>
      <c r="O43" s="48"/>
    </row>
    <row r="44" spans="3:16" ht="14.25" customHeight="1" x14ac:dyDescent="0.3">
      <c r="C44" s="109" t="s">
        <v>45</v>
      </c>
      <c r="D44" s="116"/>
      <c r="E44" s="116"/>
      <c r="F44" s="116"/>
      <c r="G44" s="116"/>
      <c r="H44" s="116"/>
      <c r="I44" s="117"/>
      <c r="J44" s="15">
        <f>J43*0.2</f>
        <v>32000</v>
      </c>
      <c r="K44" s="52"/>
      <c r="L44" s="47"/>
      <c r="M44" s="47"/>
      <c r="N44" s="48"/>
      <c r="O44" s="48"/>
    </row>
    <row r="45" spans="3:16" ht="14.25" customHeight="1" x14ac:dyDescent="0.3">
      <c r="C45" s="128" t="s">
        <v>44</v>
      </c>
      <c r="D45" s="106"/>
      <c r="E45" s="106"/>
      <c r="F45" s="106"/>
      <c r="G45" s="106"/>
      <c r="H45" s="106"/>
      <c r="I45" s="129"/>
      <c r="J45" s="51">
        <f>+J43+J44</f>
        <v>192000</v>
      </c>
      <c r="K45" s="52"/>
      <c r="L45" s="47">
        <f>SUM(L40:L44)</f>
        <v>192000</v>
      </c>
      <c r="M45" s="47"/>
      <c r="N45" s="48">
        <f t="shared" ref="N45" si="36">+L45*0.0667</f>
        <v>12806.4</v>
      </c>
      <c r="O45" s="48"/>
    </row>
    <row r="46" spans="3:16" ht="30" customHeight="1" x14ac:dyDescent="0.3">
      <c r="C46" s="44"/>
      <c r="D46" s="74" t="s">
        <v>97</v>
      </c>
      <c r="E46" s="126" t="s">
        <v>129</v>
      </c>
      <c r="F46" s="127"/>
      <c r="G46" s="16"/>
      <c r="H46" s="16"/>
      <c r="I46" s="12"/>
      <c r="J46" s="24"/>
      <c r="K46" s="22"/>
      <c r="L46" s="32"/>
      <c r="M46" s="32"/>
      <c r="N46" s="33"/>
      <c r="O46" s="33"/>
    </row>
    <row r="47" spans="3:16" ht="58.5" customHeight="1" x14ac:dyDescent="0.3">
      <c r="C47" s="21">
        <v>1</v>
      </c>
      <c r="D47" s="16"/>
      <c r="E47" s="138" t="s">
        <v>130</v>
      </c>
      <c r="F47" s="123"/>
      <c r="G47" s="64" t="s">
        <v>55</v>
      </c>
      <c r="H47" s="17">
        <v>4</v>
      </c>
      <c r="I47" s="23">
        <v>30000</v>
      </c>
      <c r="J47" s="15">
        <f t="shared" ref="J47" si="37">I47*H47</f>
        <v>120000</v>
      </c>
      <c r="K47" s="50"/>
      <c r="L47" s="47">
        <f t="shared" ref="L47" si="38">+J47*1.2</f>
        <v>144000</v>
      </c>
      <c r="M47" s="47"/>
      <c r="N47" s="48">
        <f t="shared" ref="N47" si="39">+L47*0.0667</f>
        <v>9604.7999999999993</v>
      </c>
      <c r="O47" s="48"/>
    </row>
    <row r="48" spans="3:16" ht="14.25" customHeight="1" x14ac:dyDescent="0.3">
      <c r="C48" s="109" t="s">
        <v>25</v>
      </c>
      <c r="D48" s="106"/>
      <c r="E48" s="106"/>
      <c r="F48" s="106"/>
      <c r="G48" s="106"/>
      <c r="H48" s="23"/>
      <c r="I48" s="41"/>
      <c r="J48" s="15">
        <f>SUM(J47:J47)</f>
        <v>120000</v>
      </c>
      <c r="K48" s="52"/>
      <c r="L48" s="47"/>
      <c r="M48" s="47"/>
      <c r="N48" s="48"/>
      <c r="O48" s="48"/>
    </row>
    <row r="49" spans="3:15" ht="14.25" customHeight="1" x14ac:dyDescent="0.3">
      <c r="C49" s="109" t="s">
        <v>45</v>
      </c>
      <c r="D49" s="116"/>
      <c r="E49" s="116"/>
      <c r="F49" s="116"/>
      <c r="G49" s="116"/>
      <c r="H49" s="116"/>
      <c r="I49" s="117"/>
      <c r="J49" s="15">
        <f>J48*0.2</f>
        <v>24000</v>
      </c>
      <c r="K49" s="52"/>
      <c r="L49" s="47"/>
      <c r="M49" s="47"/>
      <c r="N49" s="48"/>
      <c r="O49" s="48"/>
    </row>
    <row r="50" spans="3:15" ht="14.25" customHeight="1" x14ac:dyDescent="0.3">
      <c r="C50" s="128" t="s">
        <v>44</v>
      </c>
      <c r="D50" s="106"/>
      <c r="E50" s="106"/>
      <c r="F50" s="106"/>
      <c r="G50" s="106"/>
      <c r="H50" s="106"/>
      <c r="I50" s="129"/>
      <c r="J50" s="51">
        <f>+J48+J49</f>
        <v>144000</v>
      </c>
      <c r="K50" s="52"/>
      <c r="L50" s="47">
        <f>SUM(L46:L49)</f>
        <v>144000</v>
      </c>
      <c r="M50" s="47"/>
      <c r="N50" s="48">
        <f t="shared" ref="N50" si="40">+L50*0.0667</f>
        <v>9604.7999999999993</v>
      </c>
      <c r="O50" s="48"/>
    </row>
    <row r="51" spans="3:15" ht="28.2" customHeight="1" x14ac:dyDescent="0.3">
      <c r="C51" s="17"/>
      <c r="D51" s="75" t="s">
        <v>138</v>
      </c>
      <c r="E51" s="90" t="s">
        <v>136</v>
      </c>
      <c r="F51" s="91"/>
      <c r="G51" s="17"/>
      <c r="H51" s="23"/>
      <c r="I51" s="12"/>
      <c r="J51" s="12"/>
      <c r="K51" s="22"/>
      <c r="L51" s="32"/>
      <c r="M51" s="32"/>
      <c r="N51" s="33"/>
      <c r="O51" s="33"/>
    </row>
    <row r="52" spans="3:15" ht="27.6" customHeight="1" x14ac:dyDescent="0.3">
      <c r="C52" s="17">
        <v>1</v>
      </c>
      <c r="D52" s="30"/>
      <c r="E52" s="122" t="s">
        <v>135</v>
      </c>
      <c r="F52" s="93"/>
      <c r="G52" s="34" t="s">
        <v>7</v>
      </c>
      <c r="H52" s="42">
        <v>500</v>
      </c>
      <c r="I52" s="15">
        <v>170</v>
      </c>
      <c r="J52" s="15">
        <f t="shared" ref="J52" si="41">I52*H52</f>
        <v>85000</v>
      </c>
      <c r="K52" s="15"/>
      <c r="L52" s="32"/>
      <c r="M52" s="47">
        <f>+J52*1.2</f>
        <v>102000</v>
      </c>
      <c r="N52" s="33"/>
      <c r="O52" s="33">
        <f t="shared" ref="O52" si="42">+M52*0.025</f>
        <v>2550</v>
      </c>
    </row>
    <row r="53" spans="3:15" ht="14.25" customHeight="1" x14ac:dyDescent="0.3">
      <c r="C53" s="104" t="s">
        <v>25</v>
      </c>
      <c r="D53" s="103"/>
      <c r="E53" s="103"/>
      <c r="F53" s="103"/>
      <c r="G53" s="103"/>
      <c r="H53" s="103"/>
      <c r="I53" s="15"/>
      <c r="J53" s="15">
        <f>SUM(J52)</f>
        <v>85000</v>
      </c>
      <c r="K53" s="50"/>
      <c r="L53" s="47"/>
      <c r="M53" s="47"/>
      <c r="N53" s="48"/>
      <c r="O53" s="48"/>
    </row>
    <row r="54" spans="3:15" ht="14.25" customHeight="1" x14ac:dyDescent="0.3">
      <c r="C54" s="105" t="s">
        <v>45</v>
      </c>
      <c r="D54" s="106"/>
      <c r="E54" s="106"/>
      <c r="F54" s="106"/>
      <c r="G54" s="106"/>
      <c r="H54" s="106"/>
      <c r="I54" s="107"/>
      <c r="J54" s="15">
        <f>J53*0.2</f>
        <v>17000</v>
      </c>
      <c r="K54" s="22"/>
      <c r="L54" s="32"/>
      <c r="M54" s="32"/>
      <c r="N54" s="33"/>
      <c r="O54" s="33"/>
    </row>
    <row r="55" spans="3:15" ht="14.25" customHeight="1" x14ac:dyDescent="0.3">
      <c r="C55" s="102" t="s">
        <v>44</v>
      </c>
      <c r="D55" s="103"/>
      <c r="E55" s="103"/>
      <c r="F55" s="103"/>
      <c r="G55" s="103"/>
      <c r="H55" s="103"/>
      <c r="I55" s="12"/>
      <c r="J55" s="51">
        <f>+J53+J54</f>
        <v>102000</v>
      </c>
      <c r="K55" s="22"/>
      <c r="L55" s="32"/>
      <c r="M55" s="32">
        <f t="shared" ref="M55:O55" si="43">SUM(M52:M54)</f>
        <v>102000</v>
      </c>
      <c r="N55" s="33"/>
      <c r="O55" s="33">
        <f t="shared" si="43"/>
        <v>2550</v>
      </c>
    </row>
    <row r="56" spans="3:15" ht="39.6" customHeight="1" x14ac:dyDescent="0.3">
      <c r="C56" s="26"/>
      <c r="D56" s="76" t="s">
        <v>139</v>
      </c>
      <c r="E56" s="90" t="s">
        <v>137</v>
      </c>
      <c r="F56" s="91"/>
      <c r="G56" s="16"/>
      <c r="H56" s="16"/>
      <c r="I56" s="16"/>
      <c r="J56" s="24"/>
      <c r="K56" s="25"/>
      <c r="L56" s="32"/>
      <c r="M56" s="32"/>
      <c r="N56" s="33"/>
      <c r="O56" s="33"/>
    </row>
    <row r="57" spans="3:15" ht="31.95" customHeight="1" x14ac:dyDescent="0.3">
      <c r="C57" s="17">
        <v>1</v>
      </c>
      <c r="D57" s="31"/>
      <c r="E57" s="122" t="s">
        <v>140</v>
      </c>
      <c r="F57" s="93"/>
      <c r="G57" s="38" t="s">
        <v>7</v>
      </c>
      <c r="H57" s="42">
        <v>500</v>
      </c>
      <c r="I57" s="15">
        <v>250</v>
      </c>
      <c r="J57" s="15">
        <f t="shared" ref="J57" si="44">I57*H57</f>
        <v>125000</v>
      </c>
      <c r="K57" s="15"/>
      <c r="L57" s="32"/>
      <c r="M57" s="47">
        <f>+J57*1.2</f>
        <v>150000</v>
      </c>
      <c r="N57" s="33"/>
      <c r="O57" s="33">
        <f t="shared" ref="O57" si="45">+M57*0.025</f>
        <v>3750</v>
      </c>
    </row>
    <row r="58" spans="3:15" ht="14.25" customHeight="1" x14ac:dyDescent="0.3">
      <c r="C58" s="109" t="s">
        <v>25</v>
      </c>
      <c r="D58" s="106"/>
      <c r="E58" s="106"/>
      <c r="F58" s="106"/>
      <c r="G58" s="106"/>
      <c r="H58" s="57">
        <f>SUM(H52:H57)</f>
        <v>1000</v>
      </c>
      <c r="I58" s="12"/>
      <c r="J58" s="15">
        <f>SUM(J57)</f>
        <v>125000</v>
      </c>
      <c r="K58" s="17"/>
      <c r="L58" s="32"/>
      <c r="M58" s="32"/>
      <c r="N58" s="33"/>
      <c r="O58" s="48"/>
    </row>
    <row r="59" spans="3:15" ht="14.25" customHeight="1" x14ac:dyDescent="0.3">
      <c r="C59" s="94" t="s">
        <v>45</v>
      </c>
      <c r="D59" s="95"/>
      <c r="E59" s="95"/>
      <c r="F59" s="95"/>
      <c r="G59" s="95"/>
      <c r="H59" s="95"/>
      <c r="I59" s="96"/>
      <c r="J59" s="15">
        <f>J58*0.2</f>
        <v>25000</v>
      </c>
      <c r="K59" s="22"/>
      <c r="L59" s="32"/>
      <c r="M59" s="32"/>
      <c r="N59" s="33"/>
      <c r="O59" s="33"/>
    </row>
    <row r="60" spans="3:15" ht="14.25" customHeight="1" x14ac:dyDescent="0.3">
      <c r="C60" s="98" t="s">
        <v>44</v>
      </c>
      <c r="D60" s="95"/>
      <c r="E60" s="95"/>
      <c r="F60" s="95"/>
      <c r="G60" s="95"/>
      <c r="H60" s="95"/>
      <c r="I60" s="18"/>
      <c r="J60" s="51">
        <f>+J58+J59</f>
        <v>150000</v>
      </c>
      <c r="K60" s="22"/>
      <c r="L60" s="32"/>
      <c r="M60" s="32">
        <f t="shared" ref="M60" si="46">SUM(M57:M59)</f>
        <v>150000</v>
      </c>
      <c r="N60" s="33"/>
      <c r="O60" s="33">
        <f t="shared" ref="O60" si="47">SUM(O57:O59)</f>
        <v>3750</v>
      </c>
    </row>
    <row r="61" spans="3:15" ht="28.2" customHeight="1" x14ac:dyDescent="0.3">
      <c r="C61" s="26"/>
      <c r="D61" s="40" t="s">
        <v>81</v>
      </c>
      <c r="E61" s="90" t="s">
        <v>126</v>
      </c>
      <c r="F61" s="91"/>
      <c r="G61" s="16"/>
      <c r="H61" s="16"/>
      <c r="I61" s="16"/>
      <c r="J61" s="24"/>
      <c r="K61" s="22"/>
      <c r="L61" s="32"/>
      <c r="M61" s="32"/>
      <c r="N61" s="33"/>
      <c r="O61" s="33"/>
    </row>
    <row r="62" spans="3:15" ht="17.25" customHeight="1" x14ac:dyDescent="0.3">
      <c r="C62" s="39">
        <v>1</v>
      </c>
      <c r="D62" s="31"/>
      <c r="E62" s="142" t="s">
        <v>105</v>
      </c>
      <c r="F62" s="114"/>
      <c r="G62" s="17" t="s">
        <v>24</v>
      </c>
      <c r="H62" s="23">
        <v>1</v>
      </c>
      <c r="I62" s="15">
        <v>60000</v>
      </c>
      <c r="J62" s="15">
        <f t="shared" ref="J62:J66" si="48">I62*H62</f>
        <v>60000</v>
      </c>
      <c r="K62" s="50"/>
      <c r="L62" s="47">
        <f t="shared" ref="L62" si="49">+I62*1.2</f>
        <v>72000</v>
      </c>
      <c r="M62" s="47"/>
      <c r="N62" s="48">
        <f t="shared" si="6"/>
        <v>4802.3999999999996</v>
      </c>
      <c r="O62" s="48"/>
    </row>
    <row r="63" spans="3:15" ht="31.5" customHeight="1" x14ac:dyDescent="0.3">
      <c r="C63" s="21">
        <f t="shared" ref="C63:C65" si="50">+C62+1</f>
        <v>2</v>
      </c>
      <c r="D63" s="31"/>
      <c r="E63" s="115" t="s">
        <v>106</v>
      </c>
      <c r="F63" s="120"/>
      <c r="G63" s="54" t="s">
        <v>7</v>
      </c>
      <c r="H63" s="23">
        <v>960</v>
      </c>
      <c r="I63" s="15">
        <v>60</v>
      </c>
      <c r="J63" s="15">
        <f t="shared" si="48"/>
        <v>57600</v>
      </c>
      <c r="K63" s="50"/>
      <c r="L63" s="47">
        <f t="shared" ref="L63:L66" si="51">+J63*1.2</f>
        <v>69120</v>
      </c>
      <c r="M63" s="47"/>
      <c r="N63" s="48">
        <f t="shared" si="6"/>
        <v>4610.3040000000001</v>
      </c>
      <c r="O63" s="48"/>
    </row>
    <row r="64" spans="3:15" ht="30" customHeight="1" x14ac:dyDescent="0.3">
      <c r="C64" s="21">
        <f t="shared" si="50"/>
        <v>3</v>
      </c>
      <c r="D64" s="31"/>
      <c r="E64" s="141" t="s">
        <v>107</v>
      </c>
      <c r="F64" s="93"/>
      <c r="G64" s="54" t="s">
        <v>55</v>
      </c>
      <c r="H64" s="23">
        <v>1</v>
      </c>
      <c r="I64" s="15">
        <v>30000</v>
      </c>
      <c r="J64" s="15">
        <f t="shared" si="48"/>
        <v>30000</v>
      </c>
      <c r="K64" s="50"/>
      <c r="L64" s="47">
        <f t="shared" si="51"/>
        <v>36000</v>
      </c>
      <c r="M64" s="47"/>
      <c r="N64" s="48">
        <f t="shared" si="6"/>
        <v>2401.1999999999998</v>
      </c>
      <c r="O64" s="48"/>
    </row>
    <row r="65" spans="3:15" ht="28.2" customHeight="1" x14ac:dyDescent="0.3">
      <c r="C65" s="21">
        <f t="shared" si="50"/>
        <v>4</v>
      </c>
      <c r="D65" s="31"/>
      <c r="E65" s="141" t="s">
        <v>109</v>
      </c>
      <c r="F65" s="93"/>
      <c r="G65" s="75" t="s">
        <v>134</v>
      </c>
      <c r="H65" s="23">
        <v>1</v>
      </c>
      <c r="I65" s="15">
        <v>15000</v>
      </c>
      <c r="J65" s="15">
        <f t="shared" si="48"/>
        <v>15000</v>
      </c>
      <c r="K65" s="50"/>
      <c r="L65" s="47">
        <f t="shared" si="51"/>
        <v>18000</v>
      </c>
      <c r="M65" s="47"/>
      <c r="N65" s="48">
        <f t="shared" si="6"/>
        <v>1200.5999999999999</v>
      </c>
      <c r="O65" s="48"/>
    </row>
    <row r="66" spans="3:15" ht="60.6" customHeight="1" x14ac:dyDescent="0.3">
      <c r="C66" s="21">
        <f>+C65+1</f>
        <v>5</v>
      </c>
      <c r="D66" s="31"/>
      <c r="E66" s="100" t="s">
        <v>108</v>
      </c>
      <c r="F66" s="101"/>
      <c r="G66" s="54" t="s">
        <v>52</v>
      </c>
      <c r="H66" s="23">
        <v>1</v>
      </c>
      <c r="I66" s="15">
        <v>100000</v>
      </c>
      <c r="J66" s="15">
        <f t="shared" si="48"/>
        <v>100000</v>
      </c>
      <c r="K66" s="50"/>
      <c r="L66" s="47">
        <f t="shared" si="51"/>
        <v>120000</v>
      </c>
      <c r="M66" s="47"/>
      <c r="N66" s="48">
        <f t="shared" si="6"/>
        <v>8003.9999999999991</v>
      </c>
      <c r="O66" s="48"/>
    </row>
    <row r="67" spans="3:15" ht="17.25" customHeight="1" x14ac:dyDescent="0.3">
      <c r="C67" s="104" t="s">
        <v>25</v>
      </c>
      <c r="D67" s="103"/>
      <c r="E67" s="103"/>
      <c r="F67" s="103"/>
      <c r="G67" s="103"/>
      <c r="H67" s="103"/>
      <c r="I67" s="15"/>
      <c r="J67" s="15">
        <f>SUM(J62:J66)</f>
        <v>262600</v>
      </c>
      <c r="K67" s="50"/>
      <c r="L67" s="47"/>
      <c r="M67" s="47"/>
      <c r="N67" s="48"/>
      <c r="O67" s="48"/>
    </row>
    <row r="68" spans="3:15" ht="17.25" customHeight="1" x14ac:dyDescent="0.3">
      <c r="C68" s="105" t="s">
        <v>45</v>
      </c>
      <c r="D68" s="106"/>
      <c r="E68" s="106"/>
      <c r="F68" s="106"/>
      <c r="G68" s="106"/>
      <c r="H68" s="106"/>
      <c r="I68" s="107"/>
      <c r="J68" s="15">
        <f>J67*0.2</f>
        <v>52520</v>
      </c>
      <c r="K68" s="22"/>
      <c r="L68" s="32"/>
      <c r="M68" s="32"/>
      <c r="N68" s="33"/>
      <c r="O68" s="33"/>
    </row>
    <row r="69" spans="3:15" ht="17.25" customHeight="1" x14ac:dyDescent="0.3">
      <c r="C69" s="102" t="s">
        <v>44</v>
      </c>
      <c r="D69" s="103"/>
      <c r="E69" s="103"/>
      <c r="F69" s="103"/>
      <c r="G69" s="103"/>
      <c r="H69" s="103"/>
      <c r="I69" s="12"/>
      <c r="J69" s="51">
        <f>+J67+J68</f>
        <v>315120</v>
      </c>
      <c r="K69" s="22"/>
      <c r="L69" s="32">
        <f>SUM(L62:L68)</f>
        <v>315120</v>
      </c>
      <c r="M69" s="32"/>
      <c r="N69" s="48">
        <f t="shared" si="6"/>
        <v>21018.503999999997</v>
      </c>
      <c r="O69" s="33"/>
    </row>
    <row r="70" spans="3:15" ht="14.4" customHeight="1" x14ac:dyDescent="0.3">
      <c r="C70" s="26"/>
      <c r="D70" s="89" t="s">
        <v>153</v>
      </c>
      <c r="E70" s="90" t="s">
        <v>133</v>
      </c>
      <c r="F70" s="91"/>
      <c r="G70" s="16"/>
      <c r="H70" s="16"/>
      <c r="I70" s="16"/>
      <c r="J70" s="24"/>
      <c r="K70" s="22"/>
      <c r="L70" s="32"/>
      <c r="M70" s="32"/>
      <c r="N70" s="33"/>
      <c r="O70" s="33"/>
    </row>
    <row r="71" spans="3:15" ht="57" customHeight="1" x14ac:dyDescent="0.3">
      <c r="C71" s="26"/>
      <c r="D71" s="16"/>
      <c r="E71" s="168" t="s">
        <v>142</v>
      </c>
      <c r="F71" s="154"/>
      <c r="G71" s="74" t="s">
        <v>64</v>
      </c>
      <c r="H71" s="77">
        <v>1</v>
      </c>
      <c r="I71" s="15">
        <v>500000</v>
      </c>
      <c r="J71" s="15">
        <f t="shared" ref="J71" si="52">I71*H71</f>
        <v>500000</v>
      </c>
      <c r="K71" s="22"/>
      <c r="L71" s="47">
        <f t="shared" ref="L71" si="53">+J71*1.2</f>
        <v>600000</v>
      </c>
      <c r="M71" s="47"/>
      <c r="N71" s="48">
        <f t="shared" ref="N71" si="54">+L71*0.0667</f>
        <v>40020</v>
      </c>
      <c r="O71" s="48"/>
    </row>
    <row r="72" spans="3:15" ht="17.25" customHeight="1" x14ac:dyDescent="0.3">
      <c r="C72" s="104" t="s">
        <v>25</v>
      </c>
      <c r="D72" s="103"/>
      <c r="E72" s="103"/>
      <c r="F72" s="103"/>
      <c r="G72" s="103"/>
      <c r="H72" s="103"/>
      <c r="I72" s="15"/>
      <c r="J72" s="15">
        <f>SUM(J71)</f>
        <v>500000</v>
      </c>
      <c r="K72" s="50"/>
      <c r="L72" s="47"/>
      <c r="M72" s="47"/>
      <c r="N72" s="48"/>
      <c r="O72" s="48"/>
    </row>
    <row r="73" spans="3:15" ht="17.25" customHeight="1" x14ac:dyDescent="0.3">
      <c r="C73" s="105" t="s">
        <v>45</v>
      </c>
      <c r="D73" s="106"/>
      <c r="E73" s="106"/>
      <c r="F73" s="106"/>
      <c r="G73" s="106"/>
      <c r="H73" s="106"/>
      <c r="I73" s="107"/>
      <c r="J73" s="15">
        <f>J72*0.2</f>
        <v>100000</v>
      </c>
      <c r="K73" s="22"/>
      <c r="L73" s="32"/>
      <c r="M73" s="32"/>
      <c r="N73" s="33"/>
      <c r="O73" s="33"/>
    </row>
    <row r="74" spans="3:15" ht="17.25" customHeight="1" x14ac:dyDescent="0.3">
      <c r="C74" s="102" t="s">
        <v>44</v>
      </c>
      <c r="D74" s="103"/>
      <c r="E74" s="103"/>
      <c r="F74" s="103"/>
      <c r="G74" s="103"/>
      <c r="H74" s="103"/>
      <c r="I74" s="12"/>
      <c r="J74" s="51">
        <f>+J72+J73</f>
        <v>600000</v>
      </c>
      <c r="K74" s="22"/>
      <c r="L74" s="47">
        <f>SUM(L71:L73)</f>
        <v>600000</v>
      </c>
      <c r="M74" s="32"/>
      <c r="N74" s="48">
        <f t="shared" ref="N74" si="55">+L74*0.0667</f>
        <v>40020</v>
      </c>
      <c r="O74" s="33"/>
    </row>
    <row r="75" spans="3:15" ht="16.95" customHeight="1" x14ac:dyDescent="0.3">
      <c r="C75" s="66"/>
      <c r="D75" s="77" t="s">
        <v>145</v>
      </c>
      <c r="E75" s="90" t="s">
        <v>143</v>
      </c>
      <c r="F75" s="91"/>
      <c r="G75" s="78"/>
      <c r="H75" s="78"/>
      <c r="I75" s="78"/>
      <c r="J75" s="51"/>
      <c r="K75" s="13"/>
      <c r="L75" s="32"/>
      <c r="M75" s="32"/>
      <c r="N75" s="33"/>
      <c r="O75" s="33"/>
    </row>
    <row r="76" spans="3:15" ht="32.4" customHeight="1" x14ac:dyDescent="0.3">
      <c r="C76" s="75">
        <f t="shared" ref="C76" si="56">+C75+1</f>
        <v>1</v>
      </c>
      <c r="D76" s="77"/>
      <c r="E76" s="122" t="s">
        <v>144</v>
      </c>
      <c r="F76" s="154"/>
      <c r="G76" s="77" t="s">
        <v>24</v>
      </c>
      <c r="H76" s="83">
        <v>1</v>
      </c>
      <c r="I76" s="79">
        <v>50000</v>
      </c>
      <c r="J76" s="79">
        <f>H76*I76</f>
        <v>50000</v>
      </c>
      <c r="K76" s="13"/>
      <c r="L76" s="32">
        <f>+J76*1.2</f>
        <v>60000</v>
      </c>
      <c r="M76" s="32"/>
      <c r="N76" s="33">
        <f t="shared" ref="N76:N79" si="57">+L76*0.0667</f>
        <v>4001.9999999999995</v>
      </c>
      <c r="O76" s="33"/>
    </row>
    <row r="77" spans="3:15" ht="17.25" customHeight="1" x14ac:dyDescent="0.3">
      <c r="C77" s="155" t="s">
        <v>25</v>
      </c>
      <c r="D77" s="156"/>
      <c r="E77" s="156"/>
      <c r="F77" s="156"/>
      <c r="G77" s="156"/>
      <c r="H77" s="83">
        <f>SUM(H73:H76)</f>
        <v>1</v>
      </c>
      <c r="I77" s="81"/>
      <c r="J77" s="79">
        <f>SUM(J76)</f>
        <v>50000</v>
      </c>
      <c r="K77" s="13"/>
      <c r="L77" s="32"/>
      <c r="M77" s="32"/>
      <c r="N77" s="33"/>
      <c r="O77" s="33"/>
    </row>
    <row r="78" spans="3:15" ht="17.25" customHeight="1" x14ac:dyDescent="0.3">
      <c r="C78" s="157" t="s">
        <v>45</v>
      </c>
      <c r="D78" s="158"/>
      <c r="E78" s="158"/>
      <c r="F78" s="158"/>
      <c r="G78" s="158"/>
      <c r="H78" s="158"/>
      <c r="I78" s="96"/>
      <c r="J78" s="79">
        <f>J77*0.2</f>
        <v>10000</v>
      </c>
      <c r="K78" s="13"/>
      <c r="L78" s="32"/>
      <c r="M78" s="32"/>
      <c r="N78" s="33"/>
      <c r="O78" s="33"/>
    </row>
    <row r="79" spans="3:15" ht="17.25" customHeight="1" x14ac:dyDescent="0.3">
      <c r="C79" s="98" t="s">
        <v>44</v>
      </c>
      <c r="D79" s="158"/>
      <c r="E79" s="158"/>
      <c r="F79" s="158"/>
      <c r="G79" s="158"/>
      <c r="H79" s="158"/>
      <c r="I79" s="78"/>
      <c r="J79" s="51">
        <f>+J77+J78</f>
        <v>60000</v>
      </c>
      <c r="K79" s="13"/>
      <c r="L79" s="32">
        <f>SUM(L76:L78)</f>
        <v>60000</v>
      </c>
      <c r="M79" s="32"/>
      <c r="N79" s="33">
        <f t="shared" si="57"/>
        <v>4001.9999999999995</v>
      </c>
      <c r="O79" s="33"/>
    </row>
    <row r="80" spans="3:15" ht="30.6" customHeight="1" x14ac:dyDescent="0.3">
      <c r="C80" s="66"/>
      <c r="D80" s="77" t="s">
        <v>146</v>
      </c>
      <c r="E80" s="90" t="s">
        <v>147</v>
      </c>
      <c r="F80" s="91"/>
      <c r="G80" s="78"/>
      <c r="H80" s="78"/>
      <c r="I80" s="78"/>
      <c r="J80" s="51"/>
      <c r="K80" s="13"/>
      <c r="L80" s="32"/>
      <c r="M80" s="32"/>
      <c r="N80" s="33"/>
      <c r="O80" s="33"/>
    </row>
    <row r="81" spans="3:16" ht="30.6" customHeight="1" x14ac:dyDescent="0.3">
      <c r="C81" s="75">
        <f t="shared" ref="C81" si="58">+C80+1</f>
        <v>1</v>
      </c>
      <c r="D81" s="77"/>
      <c r="E81" s="122" t="s">
        <v>148</v>
      </c>
      <c r="F81" s="154"/>
      <c r="G81" s="77" t="s">
        <v>149</v>
      </c>
      <c r="H81" s="83">
        <v>2</v>
      </c>
      <c r="I81" s="79">
        <v>40000</v>
      </c>
      <c r="J81" s="79">
        <f>H81*I81</f>
        <v>80000</v>
      </c>
      <c r="K81" s="13"/>
      <c r="L81" s="32">
        <f>+J81*1.2</f>
        <v>96000</v>
      </c>
      <c r="M81" s="32"/>
      <c r="N81" s="48">
        <f t="shared" ref="N81" si="59">+L81*0.0667</f>
        <v>6403.2</v>
      </c>
      <c r="O81" s="33"/>
    </row>
    <row r="82" spans="3:16" ht="17.25" customHeight="1" x14ac:dyDescent="0.3">
      <c r="C82" s="155" t="s">
        <v>25</v>
      </c>
      <c r="D82" s="156"/>
      <c r="E82" s="156"/>
      <c r="F82" s="156"/>
      <c r="G82" s="156"/>
      <c r="H82" s="83">
        <f>SUM(H78:H81)</f>
        <v>2</v>
      </c>
      <c r="I82" s="81"/>
      <c r="J82" s="79">
        <f>SUM(J81)</f>
        <v>80000</v>
      </c>
      <c r="K82" s="13"/>
      <c r="L82" s="32"/>
      <c r="M82" s="32"/>
      <c r="N82" s="48"/>
      <c r="O82" s="33"/>
    </row>
    <row r="83" spans="3:16" ht="17.25" customHeight="1" x14ac:dyDescent="0.3">
      <c r="C83" s="157" t="s">
        <v>45</v>
      </c>
      <c r="D83" s="158"/>
      <c r="E83" s="158"/>
      <c r="F83" s="158"/>
      <c r="G83" s="158"/>
      <c r="H83" s="158"/>
      <c r="I83" s="96"/>
      <c r="J83" s="79">
        <f>J82*0.2</f>
        <v>16000</v>
      </c>
      <c r="K83" s="13"/>
      <c r="L83" s="32"/>
      <c r="M83" s="32"/>
      <c r="N83" s="48"/>
      <c r="O83" s="33"/>
    </row>
    <row r="84" spans="3:16" ht="17.25" customHeight="1" x14ac:dyDescent="0.3">
      <c r="C84" s="98" t="s">
        <v>44</v>
      </c>
      <c r="D84" s="158"/>
      <c r="E84" s="158"/>
      <c r="F84" s="158"/>
      <c r="G84" s="158"/>
      <c r="H84" s="158"/>
      <c r="I84" s="78"/>
      <c r="J84" s="51">
        <f>+J82+J83</f>
        <v>96000</v>
      </c>
      <c r="K84" s="13"/>
      <c r="L84" s="32">
        <f>SUM(L81:L83)</f>
        <v>96000</v>
      </c>
      <c r="M84" s="32"/>
      <c r="N84" s="48">
        <f t="shared" ref="N84" si="60">+L84*0.0667</f>
        <v>6403.2</v>
      </c>
      <c r="O84" s="33"/>
    </row>
    <row r="85" spans="3:16" ht="15.6" x14ac:dyDescent="0.3">
      <c r="C85" s="139" t="s">
        <v>117</v>
      </c>
      <c r="D85" s="140"/>
      <c r="E85" s="140"/>
      <c r="F85" s="140"/>
      <c r="G85" s="140"/>
      <c r="H85" s="140"/>
      <c r="I85" s="140"/>
      <c r="J85" s="67">
        <f>+J39+J45+J50+J55+J60+J69+J74+J79+J84</f>
        <v>1936476</v>
      </c>
      <c r="K85" s="67"/>
      <c r="L85" s="68">
        <f t="shared" ref="L85:O85" si="61">+L39+L45+L50+L55+L60+L69+L74+L79+L84</f>
        <v>1535496</v>
      </c>
      <c r="M85" s="68">
        <f t="shared" si="61"/>
        <v>400980</v>
      </c>
      <c r="N85" s="69">
        <f t="shared" si="61"/>
        <v>102417.58319999999</v>
      </c>
      <c r="O85" s="69">
        <f t="shared" si="61"/>
        <v>10024.5</v>
      </c>
      <c r="P85" s="65"/>
    </row>
    <row r="86" spans="3:16" ht="15.6" x14ac:dyDescent="0.3">
      <c r="C86" s="131" t="s">
        <v>116</v>
      </c>
      <c r="D86" s="132"/>
      <c r="E86" s="133"/>
      <c r="F86" s="133"/>
      <c r="G86" s="133"/>
      <c r="H86" s="133"/>
      <c r="I86" s="133"/>
      <c r="J86" s="133"/>
      <c r="K86" s="134"/>
      <c r="L86" s="32"/>
      <c r="M86" s="32"/>
      <c r="N86" s="33"/>
      <c r="O86" s="33"/>
    </row>
    <row r="87" spans="3:16" ht="57.6" customHeight="1" x14ac:dyDescent="0.3">
      <c r="C87" s="26"/>
      <c r="D87" s="76" t="s">
        <v>132</v>
      </c>
      <c r="E87" s="90" t="s">
        <v>123</v>
      </c>
      <c r="F87" s="91"/>
      <c r="G87" s="16"/>
      <c r="H87" s="16"/>
      <c r="I87" s="16"/>
      <c r="J87" s="13"/>
      <c r="K87" s="24"/>
      <c r="L87" s="32"/>
      <c r="M87" s="32"/>
      <c r="N87" s="33"/>
      <c r="O87" s="33"/>
    </row>
    <row r="88" spans="3:16" ht="75" customHeight="1" x14ac:dyDescent="0.3">
      <c r="C88" s="21">
        <v>1</v>
      </c>
      <c r="D88" s="17"/>
      <c r="E88" s="92" t="s">
        <v>121</v>
      </c>
      <c r="F88" s="93"/>
      <c r="G88" s="38" t="s">
        <v>3</v>
      </c>
      <c r="H88" s="29">
        <v>4</v>
      </c>
      <c r="I88" s="15">
        <v>100000</v>
      </c>
      <c r="J88" s="58"/>
      <c r="K88" s="15">
        <f>H88*I88</f>
        <v>400000</v>
      </c>
      <c r="L88" s="47">
        <f>K88*1.2*0.5</f>
        <v>240000</v>
      </c>
      <c r="M88" s="47">
        <f>K88*1.2*0.5</f>
        <v>240000</v>
      </c>
      <c r="N88" s="48">
        <f>L88*0.067</f>
        <v>16080.000000000002</v>
      </c>
      <c r="O88" s="48">
        <f t="shared" ref="O88" si="62">+M88*0.025</f>
        <v>6000</v>
      </c>
    </row>
    <row r="89" spans="3:16" ht="75.599999999999994" customHeight="1" x14ac:dyDescent="0.3">
      <c r="C89" s="21">
        <v>2</v>
      </c>
      <c r="D89" s="17"/>
      <c r="E89" s="92" t="s">
        <v>122</v>
      </c>
      <c r="F89" s="93"/>
      <c r="G89" s="38" t="s">
        <v>3</v>
      </c>
      <c r="H89" s="29">
        <v>4</v>
      </c>
      <c r="I89" s="15">
        <v>8000</v>
      </c>
      <c r="J89" s="58"/>
      <c r="K89" s="15">
        <f>H89*I89</f>
        <v>32000</v>
      </c>
      <c r="L89" s="47"/>
      <c r="M89" s="47">
        <f>+K89*1.2</f>
        <v>38400</v>
      </c>
      <c r="N89" s="48"/>
      <c r="O89" s="48">
        <f t="shared" ref="O89" si="63">+M89*0.025</f>
        <v>960</v>
      </c>
    </row>
    <row r="90" spans="3:16" x14ac:dyDescent="0.3">
      <c r="C90" s="109" t="s">
        <v>25</v>
      </c>
      <c r="D90" s="106"/>
      <c r="E90" s="106"/>
      <c r="F90" s="106"/>
      <c r="G90" s="106"/>
      <c r="H90" s="29">
        <v>4</v>
      </c>
      <c r="I90" s="12"/>
      <c r="J90" s="13"/>
      <c r="K90" s="15">
        <f>SUM(K88:K89)</f>
        <v>432000</v>
      </c>
      <c r="L90" s="32"/>
      <c r="M90" s="32"/>
      <c r="N90" s="33"/>
      <c r="O90" s="33"/>
    </row>
    <row r="91" spans="3:16" x14ac:dyDescent="0.3">
      <c r="C91" s="94" t="s">
        <v>45</v>
      </c>
      <c r="D91" s="95"/>
      <c r="E91" s="95"/>
      <c r="F91" s="95"/>
      <c r="G91" s="95"/>
      <c r="H91" s="95"/>
      <c r="I91" s="96"/>
      <c r="J91" s="13"/>
      <c r="K91" s="15">
        <f>K90*0.2</f>
        <v>86400</v>
      </c>
      <c r="L91" s="32"/>
      <c r="M91" s="32"/>
      <c r="N91" s="33"/>
      <c r="O91" s="33"/>
    </row>
    <row r="92" spans="3:16" x14ac:dyDescent="0.3">
      <c r="C92" s="98" t="s">
        <v>44</v>
      </c>
      <c r="D92" s="95"/>
      <c r="E92" s="95"/>
      <c r="F92" s="95"/>
      <c r="G92" s="95"/>
      <c r="H92" s="95"/>
      <c r="I92" s="18"/>
      <c r="J92" s="13"/>
      <c r="K92" s="51">
        <f>+K90+K91</f>
        <v>518400</v>
      </c>
      <c r="L92" s="32">
        <f>SUM(L88:L91)</f>
        <v>240000</v>
      </c>
      <c r="M92" s="32">
        <f>SUM(M88:M91)</f>
        <v>278400</v>
      </c>
      <c r="N92" s="48">
        <f>SUM(N88:N91)</f>
        <v>16080.000000000002</v>
      </c>
      <c r="O92" s="48">
        <f>SUM(O88:O91)</f>
        <v>6960</v>
      </c>
    </row>
    <row r="93" spans="3:16" ht="101.4" customHeight="1" x14ac:dyDescent="0.3">
      <c r="C93" s="75">
        <v>1</v>
      </c>
      <c r="D93" s="76" t="s">
        <v>132</v>
      </c>
      <c r="E93" s="122" t="s">
        <v>141</v>
      </c>
      <c r="F93" s="154"/>
      <c r="G93" s="77" t="s">
        <v>64</v>
      </c>
      <c r="H93" s="77">
        <v>2</v>
      </c>
      <c r="I93" s="78">
        <v>350000</v>
      </c>
      <c r="J93" s="13"/>
      <c r="K93" s="79">
        <f>H93*I93</f>
        <v>700000</v>
      </c>
      <c r="L93" s="32">
        <f t="shared" ref="L93" si="64">+K93*1.2</f>
        <v>840000</v>
      </c>
      <c r="M93" s="32"/>
      <c r="N93" s="48">
        <f t="shared" ref="N93" si="65">+L93*0.0667</f>
        <v>56027.999999999993</v>
      </c>
      <c r="O93" s="33"/>
    </row>
    <row r="94" spans="3:16" x14ac:dyDescent="0.3">
      <c r="C94" s="155" t="s">
        <v>25</v>
      </c>
      <c r="D94" s="156"/>
      <c r="E94" s="156"/>
      <c r="F94" s="156"/>
      <c r="G94" s="156"/>
      <c r="H94" s="80">
        <f>SUM(H93)</f>
        <v>2</v>
      </c>
      <c r="I94" s="81"/>
      <c r="J94" s="13"/>
      <c r="K94" s="79">
        <f>SUM(K93:K93)</f>
        <v>700000</v>
      </c>
      <c r="L94" s="32"/>
      <c r="M94" s="32"/>
      <c r="N94" s="33"/>
      <c r="O94" s="33"/>
    </row>
    <row r="95" spans="3:16" x14ac:dyDescent="0.3">
      <c r="C95" s="157" t="s">
        <v>45</v>
      </c>
      <c r="D95" s="158"/>
      <c r="E95" s="158"/>
      <c r="F95" s="158"/>
      <c r="G95" s="158"/>
      <c r="H95" s="158"/>
      <c r="I95" s="96"/>
      <c r="J95" s="13"/>
      <c r="K95" s="79">
        <f>K94*0.2</f>
        <v>140000</v>
      </c>
      <c r="L95" s="32"/>
      <c r="M95" s="32"/>
      <c r="N95" s="33"/>
      <c r="O95" s="33"/>
    </row>
    <row r="96" spans="3:16" x14ac:dyDescent="0.3">
      <c r="C96" s="159" t="s">
        <v>44</v>
      </c>
      <c r="D96" s="160"/>
      <c r="E96" s="160"/>
      <c r="F96" s="160"/>
      <c r="G96" s="160"/>
      <c r="H96" s="160"/>
      <c r="I96" s="13"/>
      <c r="J96" s="13"/>
      <c r="K96" s="82">
        <f>+K94+K95</f>
        <v>840000</v>
      </c>
      <c r="L96" s="32">
        <f>SUM(L93:L95)</f>
        <v>840000</v>
      </c>
      <c r="M96" s="32"/>
      <c r="N96" s="33">
        <f t="shared" ref="N96" si="66">SUM(N93:N95)</f>
        <v>56027.999999999993</v>
      </c>
      <c r="O96" s="33"/>
    </row>
    <row r="97" spans="3:15" ht="28.2" customHeight="1" x14ac:dyDescent="0.3">
      <c r="C97" s="17"/>
      <c r="D97" s="70" t="s">
        <v>58</v>
      </c>
      <c r="E97" s="90" t="s">
        <v>125</v>
      </c>
      <c r="F97" s="91"/>
      <c r="G97" s="17"/>
      <c r="H97" s="23"/>
      <c r="I97" s="12"/>
      <c r="J97" s="12"/>
      <c r="K97" s="22"/>
      <c r="L97" s="32"/>
      <c r="M97" s="32"/>
      <c r="N97" s="33"/>
      <c r="O97" s="33"/>
    </row>
    <row r="98" spans="3:15" x14ac:dyDescent="0.3">
      <c r="C98" s="17">
        <v>1</v>
      </c>
      <c r="D98" s="30"/>
      <c r="E98" s="97" t="s">
        <v>88</v>
      </c>
      <c r="F98" s="93"/>
      <c r="G98" s="34" t="s">
        <v>7</v>
      </c>
      <c r="H98" s="42">
        <v>208</v>
      </c>
      <c r="I98" s="15">
        <v>155</v>
      </c>
      <c r="J98" s="15"/>
      <c r="K98" s="15">
        <f>I98*H98</f>
        <v>32240</v>
      </c>
      <c r="L98" s="47"/>
      <c r="M98" s="47">
        <f>K98*1.2</f>
        <v>38688</v>
      </c>
      <c r="N98" s="48">
        <f>L98*0.067</f>
        <v>0</v>
      </c>
      <c r="O98" s="48">
        <f t="shared" ref="O98:O99" si="67">+M98*0.025</f>
        <v>967.2</v>
      </c>
    </row>
    <row r="99" spans="3:15" x14ac:dyDescent="0.3">
      <c r="C99" s="21">
        <f>+C98+1</f>
        <v>2</v>
      </c>
      <c r="D99" s="30"/>
      <c r="E99" s="122" t="s">
        <v>89</v>
      </c>
      <c r="F99" s="93"/>
      <c r="G99" s="34" t="s">
        <v>7</v>
      </c>
      <c r="H99" s="42">
        <v>634</v>
      </c>
      <c r="I99" s="15">
        <v>165</v>
      </c>
      <c r="J99" s="15"/>
      <c r="K99" s="15">
        <f t="shared" ref="K99:K102" si="68">I99*H99</f>
        <v>104610</v>
      </c>
      <c r="L99" s="47"/>
      <c r="M99" s="47">
        <f>+K99*1.2</f>
        <v>125532</v>
      </c>
      <c r="N99" s="48"/>
      <c r="O99" s="48">
        <f t="shared" si="67"/>
        <v>3138.3</v>
      </c>
    </row>
    <row r="100" spans="3:15" ht="30" customHeight="1" x14ac:dyDescent="0.3">
      <c r="C100" s="21">
        <f>+C99+1</f>
        <v>3</v>
      </c>
      <c r="D100" s="30"/>
      <c r="E100" s="125" t="s">
        <v>114</v>
      </c>
      <c r="F100" s="93"/>
      <c r="G100" s="34" t="s">
        <v>7</v>
      </c>
      <c r="H100" s="42">
        <v>1451</v>
      </c>
      <c r="I100" s="15">
        <v>170</v>
      </c>
      <c r="J100" s="15"/>
      <c r="K100" s="15">
        <f t="shared" si="68"/>
        <v>246670</v>
      </c>
      <c r="L100" s="47"/>
      <c r="M100" s="47">
        <f t="shared" ref="M100:M102" si="69">+K100*1.2</f>
        <v>296004</v>
      </c>
      <c r="N100" s="48"/>
      <c r="O100" s="48">
        <f>+M100*0.025</f>
        <v>7400.1</v>
      </c>
    </row>
    <row r="101" spans="3:15" ht="30" customHeight="1" x14ac:dyDescent="0.3">
      <c r="C101" s="21">
        <f>+C100+1</f>
        <v>4</v>
      </c>
      <c r="D101" s="30"/>
      <c r="E101" s="161" t="s">
        <v>98</v>
      </c>
      <c r="F101" s="93"/>
      <c r="G101" s="34" t="s">
        <v>7</v>
      </c>
      <c r="H101" s="42">
        <v>1807</v>
      </c>
      <c r="I101" s="15">
        <v>220</v>
      </c>
      <c r="J101" s="15"/>
      <c r="K101" s="15">
        <f t="shared" si="68"/>
        <v>397540</v>
      </c>
      <c r="L101" s="47"/>
      <c r="M101" s="47">
        <f t="shared" si="69"/>
        <v>477048</v>
      </c>
      <c r="N101" s="48"/>
      <c r="O101" s="48">
        <f>+M101*0.025</f>
        <v>11926.2</v>
      </c>
    </row>
    <row r="102" spans="3:15" ht="44.25" customHeight="1" x14ac:dyDescent="0.3">
      <c r="C102" s="21">
        <f>+C101+1</f>
        <v>5</v>
      </c>
      <c r="D102" s="71"/>
      <c r="E102" s="92" t="s">
        <v>99</v>
      </c>
      <c r="F102" s="135"/>
      <c r="G102" s="45" t="s">
        <v>64</v>
      </c>
      <c r="H102" s="17">
        <v>9</v>
      </c>
      <c r="I102" s="16">
        <v>4000</v>
      </c>
      <c r="J102" s="15"/>
      <c r="K102" s="15">
        <f t="shared" si="68"/>
        <v>36000</v>
      </c>
      <c r="L102" s="32"/>
      <c r="M102" s="47">
        <f t="shared" si="69"/>
        <v>43200</v>
      </c>
      <c r="N102" s="33"/>
      <c r="O102" s="33">
        <f>+M102*0.025</f>
        <v>1080</v>
      </c>
    </row>
    <row r="103" spans="3:15" x14ac:dyDescent="0.3">
      <c r="C103" s="109" t="s">
        <v>25</v>
      </c>
      <c r="D103" s="106"/>
      <c r="E103" s="106"/>
      <c r="F103" s="106"/>
      <c r="G103" s="106"/>
      <c r="H103" s="23">
        <f>SUM(H98:H101)</f>
        <v>4100</v>
      </c>
      <c r="I103" s="53"/>
      <c r="J103" s="15"/>
      <c r="K103" s="15">
        <f>SUM(K98:K102)</f>
        <v>817060</v>
      </c>
      <c r="L103" s="47"/>
      <c r="M103" s="47"/>
      <c r="N103" s="48"/>
      <c r="O103" s="48"/>
    </row>
    <row r="104" spans="3:15" x14ac:dyDescent="0.3">
      <c r="C104" s="109" t="s">
        <v>45</v>
      </c>
      <c r="D104" s="116"/>
      <c r="E104" s="116"/>
      <c r="F104" s="116"/>
      <c r="G104" s="116"/>
      <c r="H104" s="116"/>
      <c r="I104" s="117"/>
      <c r="J104" s="15"/>
      <c r="K104" s="15">
        <f>K103*0.2</f>
        <v>163412</v>
      </c>
      <c r="L104" s="47"/>
      <c r="M104" s="47"/>
      <c r="N104" s="48"/>
      <c r="O104" s="48"/>
    </row>
    <row r="105" spans="3:15" x14ac:dyDescent="0.3">
      <c r="C105" s="128" t="s">
        <v>44</v>
      </c>
      <c r="D105" s="106"/>
      <c r="E105" s="106"/>
      <c r="F105" s="106"/>
      <c r="G105" s="106"/>
      <c r="H105" s="106"/>
      <c r="I105" s="129"/>
      <c r="J105" s="51"/>
      <c r="K105" s="51">
        <f>+K103+K104</f>
        <v>980472</v>
      </c>
      <c r="L105" s="47"/>
      <c r="M105" s="47">
        <f>SUM(M98:M104)</f>
        <v>980472</v>
      </c>
      <c r="N105" s="48"/>
      <c r="O105" s="48">
        <f>+M105*0.025</f>
        <v>24511.800000000003</v>
      </c>
    </row>
    <row r="106" spans="3:15" ht="43.2" customHeight="1" x14ac:dyDescent="0.3">
      <c r="C106" s="26"/>
      <c r="D106" s="72" t="s">
        <v>59</v>
      </c>
      <c r="E106" s="90" t="s">
        <v>124</v>
      </c>
      <c r="F106" s="91"/>
      <c r="G106" s="16"/>
      <c r="H106" s="16"/>
      <c r="I106" s="16"/>
      <c r="J106" s="24"/>
      <c r="K106" s="25"/>
      <c r="L106" s="32"/>
      <c r="M106" s="32"/>
      <c r="N106" s="33"/>
      <c r="O106" s="33"/>
    </row>
    <row r="107" spans="3:15" ht="30" customHeight="1" x14ac:dyDescent="0.3">
      <c r="C107" s="17">
        <v>1</v>
      </c>
      <c r="D107" s="31"/>
      <c r="E107" s="92" t="s">
        <v>87</v>
      </c>
      <c r="F107" s="93"/>
      <c r="G107" s="38" t="s">
        <v>7</v>
      </c>
      <c r="H107" s="42">
        <v>3250</v>
      </c>
      <c r="I107" s="15">
        <v>210</v>
      </c>
      <c r="J107" s="15"/>
      <c r="K107" s="15">
        <f>I107*H107</f>
        <v>682500</v>
      </c>
      <c r="L107" s="32"/>
      <c r="M107" s="47">
        <f>+K107*1.2</f>
        <v>819000</v>
      </c>
      <c r="N107" s="33"/>
      <c r="O107" s="33">
        <f t="shared" ref="O107:O112" si="70">+M107*0.025</f>
        <v>20475</v>
      </c>
    </row>
    <row r="108" spans="3:15" ht="30" customHeight="1" x14ac:dyDescent="0.3">
      <c r="C108" s="21">
        <f>+C107+1</f>
        <v>2</v>
      </c>
      <c r="D108" s="31"/>
      <c r="E108" s="92" t="s">
        <v>90</v>
      </c>
      <c r="F108" s="93"/>
      <c r="G108" s="38" t="s">
        <v>7</v>
      </c>
      <c r="H108" s="42">
        <v>1282</v>
      </c>
      <c r="I108" s="15">
        <v>220</v>
      </c>
      <c r="J108" s="15"/>
      <c r="K108" s="15">
        <f t="shared" ref="K108:K112" si="71">I108*H108</f>
        <v>282040</v>
      </c>
      <c r="L108" s="32"/>
      <c r="M108" s="47">
        <f t="shared" ref="M108:M112" si="72">+K108*1.2</f>
        <v>338448</v>
      </c>
      <c r="N108" s="33"/>
      <c r="O108" s="48">
        <f t="shared" si="70"/>
        <v>8461.2000000000007</v>
      </c>
    </row>
    <row r="109" spans="3:15" ht="30" customHeight="1" x14ac:dyDescent="0.3">
      <c r="C109" s="21">
        <f>+C108+1</f>
        <v>3</v>
      </c>
      <c r="D109" s="31"/>
      <c r="E109" s="97" t="s">
        <v>91</v>
      </c>
      <c r="F109" s="93"/>
      <c r="G109" s="38" t="s">
        <v>7</v>
      </c>
      <c r="H109" s="42">
        <v>484</v>
      </c>
      <c r="I109" s="15">
        <v>240</v>
      </c>
      <c r="J109" s="15"/>
      <c r="K109" s="15">
        <f t="shared" si="71"/>
        <v>116160</v>
      </c>
      <c r="L109" s="32"/>
      <c r="M109" s="47">
        <f t="shared" si="72"/>
        <v>139392</v>
      </c>
      <c r="N109" s="33"/>
      <c r="O109" s="48">
        <f t="shared" si="70"/>
        <v>3484.8</v>
      </c>
    </row>
    <row r="110" spans="3:15" ht="30" customHeight="1" x14ac:dyDescent="0.3">
      <c r="C110" s="21">
        <f>+C109+1</f>
        <v>4</v>
      </c>
      <c r="D110" s="31"/>
      <c r="E110" s="97" t="s">
        <v>92</v>
      </c>
      <c r="F110" s="93"/>
      <c r="G110" s="38" t="s">
        <v>7</v>
      </c>
      <c r="H110" s="42">
        <v>165</v>
      </c>
      <c r="I110" s="15">
        <v>280</v>
      </c>
      <c r="J110" s="15"/>
      <c r="K110" s="15">
        <f t="shared" si="71"/>
        <v>46200</v>
      </c>
      <c r="L110" s="32"/>
      <c r="M110" s="47">
        <f t="shared" si="72"/>
        <v>55440</v>
      </c>
      <c r="N110" s="33"/>
      <c r="O110" s="48">
        <f t="shared" si="70"/>
        <v>1386</v>
      </c>
    </row>
    <row r="111" spans="3:15" ht="30" customHeight="1" x14ac:dyDescent="0.3">
      <c r="C111" s="21">
        <f>+C110+1</f>
        <v>5</v>
      </c>
      <c r="D111" s="31"/>
      <c r="E111" s="97" t="s">
        <v>93</v>
      </c>
      <c r="F111" s="93"/>
      <c r="G111" s="38" t="s">
        <v>7</v>
      </c>
      <c r="H111" s="42">
        <v>486</v>
      </c>
      <c r="I111" s="15">
        <v>360</v>
      </c>
      <c r="J111" s="15"/>
      <c r="K111" s="15">
        <f t="shared" si="71"/>
        <v>174960</v>
      </c>
      <c r="L111" s="32"/>
      <c r="M111" s="47">
        <f t="shared" si="72"/>
        <v>209952</v>
      </c>
      <c r="N111" s="33"/>
      <c r="O111" s="48">
        <f t="shared" si="70"/>
        <v>5248.8</v>
      </c>
    </row>
    <row r="112" spans="3:15" ht="30" customHeight="1" x14ac:dyDescent="0.3">
      <c r="C112" s="21">
        <f>+C111+1</f>
        <v>6</v>
      </c>
      <c r="D112" s="31"/>
      <c r="E112" s="97" t="s">
        <v>94</v>
      </c>
      <c r="F112" s="93"/>
      <c r="G112" s="17" t="s">
        <v>7</v>
      </c>
      <c r="H112" s="42">
        <v>1402</v>
      </c>
      <c r="I112" s="15">
        <v>410</v>
      </c>
      <c r="J112" s="15"/>
      <c r="K112" s="15">
        <f t="shared" si="71"/>
        <v>574820</v>
      </c>
      <c r="L112" s="32"/>
      <c r="M112" s="47">
        <f t="shared" si="72"/>
        <v>689784</v>
      </c>
      <c r="N112" s="33"/>
      <c r="O112" s="48">
        <f t="shared" si="70"/>
        <v>17244.600000000002</v>
      </c>
    </row>
    <row r="113" spans="3:16" x14ac:dyDescent="0.3">
      <c r="C113" s="109" t="s">
        <v>25</v>
      </c>
      <c r="D113" s="106"/>
      <c r="E113" s="106"/>
      <c r="F113" s="106"/>
      <c r="G113" s="106"/>
      <c r="H113" s="57">
        <f>SUM(H107:H112)</f>
        <v>7069</v>
      </c>
      <c r="I113" s="12"/>
      <c r="J113" s="56"/>
      <c r="K113" s="17"/>
      <c r="L113" s="32"/>
      <c r="M113" s="32"/>
      <c r="N113" s="33"/>
      <c r="O113" s="48"/>
    </row>
    <row r="114" spans="3:16" x14ac:dyDescent="0.3">
      <c r="C114" s="109" t="s">
        <v>25</v>
      </c>
      <c r="D114" s="106"/>
      <c r="E114" s="106"/>
      <c r="F114" s="106"/>
      <c r="G114" s="106"/>
      <c r="H114" s="23"/>
      <c r="I114" s="12"/>
      <c r="J114" s="56"/>
      <c r="K114" s="15">
        <f>SUM(K107:K113)</f>
        <v>1876680</v>
      </c>
      <c r="L114" s="47"/>
      <c r="M114" s="47"/>
      <c r="N114" s="48"/>
      <c r="O114" s="48"/>
    </row>
    <row r="115" spans="3:16" x14ac:dyDescent="0.3">
      <c r="C115" s="94" t="s">
        <v>45</v>
      </c>
      <c r="D115" s="95"/>
      <c r="E115" s="95"/>
      <c r="F115" s="95"/>
      <c r="G115" s="95"/>
      <c r="H115" s="95"/>
      <c r="I115" s="96"/>
      <c r="J115" s="55"/>
      <c r="K115" s="15">
        <f>K114*0.2</f>
        <v>375336</v>
      </c>
      <c r="L115" s="32"/>
      <c r="M115" s="32"/>
      <c r="N115" s="33"/>
      <c r="O115" s="48"/>
    </row>
    <row r="116" spans="3:16" x14ac:dyDescent="0.3">
      <c r="C116" s="98" t="s">
        <v>44</v>
      </c>
      <c r="D116" s="95"/>
      <c r="E116" s="95"/>
      <c r="F116" s="95"/>
      <c r="G116" s="95"/>
      <c r="H116" s="95"/>
      <c r="I116" s="18"/>
      <c r="J116" s="51"/>
      <c r="K116" s="51">
        <f>+K114+K115</f>
        <v>2252016</v>
      </c>
      <c r="L116" s="47"/>
      <c r="M116" s="32">
        <f>SUM(M107:M115)</f>
        <v>2252016</v>
      </c>
      <c r="N116" s="48"/>
      <c r="O116" s="48">
        <f>+M116*0.025</f>
        <v>56300.4</v>
      </c>
    </row>
    <row r="117" spans="3:16" ht="30.75" customHeight="1" x14ac:dyDescent="0.3">
      <c r="C117" s="26"/>
      <c r="D117" s="40" t="s">
        <v>83</v>
      </c>
      <c r="E117" s="90" t="s">
        <v>84</v>
      </c>
      <c r="F117" s="91"/>
      <c r="G117" s="16"/>
      <c r="H117" s="16"/>
      <c r="I117" s="16"/>
      <c r="J117" s="24"/>
      <c r="K117" s="24"/>
      <c r="L117" s="32"/>
      <c r="M117" s="32"/>
      <c r="N117" s="33"/>
      <c r="O117" s="33"/>
    </row>
    <row r="118" spans="3:16" ht="27.6" customHeight="1" x14ac:dyDescent="0.3">
      <c r="C118" s="21">
        <v>1</v>
      </c>
      <c r="D118" s="17"/>
      <c r="E118" s="108" t="s">
        <v>85</v>
      </c>
      <c r="F118" s="93"/>
      <c r="G118" s="37" t="s">
        <v>55</v>
      </c>
      <c r="H118" s="23">
        <v>1</v>
      </c>
      <c r="I118" s="15">
        <v>1100000</v>
      </c>
      <c r="J118" s="13"/>
      <c r="K118" s="15">
        <f>H118*I118</f>
        <v>1100000</v>
      </c>
      <c r="L118" s="47">
        <f t="shared" ref="L118" si="73">+K118*1.2</f>
        <v>1320000</v>
      </c>
      <c r="M118" s="47"/>
      <c r="N118" s="48">
        <f t="shared" ref="N118" si="74">+L118*0.0667</f>
        <v>88044</v>
      </c>
      <c r="O118" s="48"/>
    </row>
    <row r="119" spans="3:16" x14ac:dyDescent="0.3">
      <c r="C119" s="109" t="s">
        <v>25</v>
      </c>
      <c r="D119" s="106"/>
      <c r="E119" s="106"/>
      <c r="F119" s="106"/>
      <c r="G119" s="106"/>
      <c r="H119" s="23">
        <f>SUM(H118:H118)</f>
        <v>1</v>
      </c>
      <c r="I119" s="12"/>
      <c r="J119" s="13"/>
      <c r="K119" s="15">
        <f>SUM(K118:K118)</f>
        <v>1100000</v>
      </c>
      <c r="L119" s="47"/>
      <c r="M119" s="47"/>
      <c r="N119" s="48"/>
      <c r="O119" s="48"/>
    </row>
    <row r="120" spans="3:16" x14ac:dyDescent="0.3">
      <c r="C120" s="94" t="s">
        <v>45</v>
      </c>
      <c r="D120" s="95"/>
      <c r="E120" s="95"/>
      <c r="F120" s="95"/>
      <c r="G120" s="95"/>
      <c r="H120" s="95"/>
      <c r="I120" s="96"/>
      <c r="J120" s="13"/>
      <c r="K120" s="15">
        <f>K119*0.2</f>
        <v>220000</v>
      </c>
      <c r="L120" s="47"/>
      <c r="M120" s="47"/>
      <c r="N120" s="48"/>
      <c r="O120" s="48"/>
    </row>
    <row r="121" spans="3:16" x14ac:dyDescent="0.3">
      <c r="C121" s="98" t="s">
        <v>44</v>
      </c>
      <c r="D121" s="95"/>
      <c r="E121" s="95"/>
      <c r="F121" s="95"/>
      <c r="G121" s="95"/>
      <c r="H121" s="95"/>
      <c r="I121" s="18"/>
      <c r="J121" s="13"/>
      <c r="K121" s="51">
        <f>+K119+K120</f>
        <v>1320000</v>
      </c>
      <c r="L121" s="47">
        <f>SUM(L118:L120)</f>
        <v>1320000</v>
      </c>
      <c r="M121" s="47"/>
      <c r="N121" s="48">
        <f t="shared" ref="N121" si="75">+L121*0.0667</f>
        <v>88044</v>
      </c>
      <c r="O121" s="48"/>
    </row>
    <row r="122" spans="3:16" x14ac:dyDescent="0.3">
      <c r="C122" s="98" t="s">
        <v>118</v>
      </c>
      <c r="D122" s="99"/>
      <c r="E122" s="99"/>
      <c r="F122" s="99"/>
      <c r="G122" s="99"/>
      <c r="H122" s="99"/>
      <c r="I122" s="99"/>
      <c r="J122" s="110"/>
      <c r="K122" s="59">
        <f>+K92+K96+K105+K116+K121</f>
        <v>5910888</v>
      </c>
      <c r="L122" s="62">
        <f t="shared" ref="L122:M122" si="76">+L92+L96+L105+L116+L121</f>
        <v>2400000</v>
      </c>
      <c r="M122" s="62">
        <f t="shared" si="76"/>
        <v>3510888</v>
      </c>
      <c r="N122" s="73">
        <f>+N92+N96+N105+N116+N121</f>
        <v>160152</v>
      </c>
      <c r="O122" s="73">
        <f t="shared" ref="O122" si="77">+O92+O96+O105+O116+O121</f>
        <v>87772.200000000012</v>
      </c>
      <c r="P122" s="65"/>
    </row>
    <row r="123" spans="3:16" x14ac:dyDescent="0.3">
      <c r="C123" s="98" t="s">
        <v>119</v>
      </c>
      <c r="D123" s="99"/>
      <c r="E123" s="99"/>
      <c r="F123" s="99"/>
      <c r="G123" s="99"/>
      <c r="H123" s="99"/>
      <c r="I123" s="99"/>
      <c r="J123" s="96"/>
      <c r="K123" s="51">
        <f>+J85+K122</f>
        <v>7847364</v>
      </c>
      <c r="L123" s="60">
        <f>+L85+L122</f>
        <v>3935496</v>
      </c>
      <c r="M123" s="60">
        <f>+M85+M122</f>
        <v>3911868</v>
      </c>
      <c r="N123" s="61">
        <f t="shared" ref="N123" si="78">+M85+N122</f>
        <v>561132</v>
      </c>
      <c r="O123" s="61">
        <f t="shared" ref="O123" si="79">+N85+O122</f>
        <v>190189.78320000001</v>
      </c>
      <c r="P123" s="65"/>
    </row>
    <row r="124" spans="3:16" x14ac:dyDescent="0.3">
      <c r="C124" s="130"/>
      <c r="D124" s="130"/>
      <c r="E124" s="130"/>
      <c r="F124" s="130"/>
      <c r="G124" s="130"/>
      <c r="H124" s="130"/>
      <c r="I124" s="130"/>
      <c r="J124" s="130"/>
      <c r="K124" s="130"/>
    </row>
  </sheetData>
  <mergeCells count="128">
    <mergeCell ref="E56:F56"/>
    <mergeCell ref="E57:F57"/>
    <mergeCell ref="C58:G58"/>
    <mergeCell ref="C59:I59"/>
    <mergeCell ref="E6:F6"/>
    <mergeCell ref="E25:F25"/>
    <mergeCell ref="E26:F26"/>
    <mergeCell ref="C38:I38"/>
    <mergeCell ref="E7:F7"/>
    <mergeCell ref="E21:F21"/>
    <mergeCell ref="E22:F22"/>
    <mergeCell ref="E23:F23"/>
    <mergeCell ref="E24:F24"/>
    <mergeCell ref="E32:F32"/>
    <mergeCell ref="E41:F41"/>
    <mergeCell ref="E51:F51"/>
    <mergeCell ref="E52:F52"/>
    <mergeCell ref="C53:H53"/>
    <mergeCell ref="C54:I54"/>
    <mergeCell ref="C55:H55"/>
    <mergeCell ref="C96:H96"/>
    <mergeCell ref="E70:F70"/>
    <mergeCell ref="E71:F71"/>
    <mergeCell ref="C72:H72"/>
    <mergeCell ref="C73:I73"/>
    <mergeCell ref="C74:H74"/>
    <mergeCell ref="E101:F101"/>
    <mergeCell ref="E108:F108"/>
    <mergeCell ref="C105:I105"/>
    <mergeCell ref="C103:G103"/>
    <mergeCell ref="C79:H79"/>
    <mergeCell ref="E80:F80"/>
    <mergeCell ref="E81:F81"/>
    <mergeCell ref="C82:G82"/>
    <mergeCell ref="C83:I83"/>
    <mergeCell ref="C84:H84"/>
    <mergeCell ref="E75:F75"/>
    <mergeCell ref="E76:F76"/>
    <mergeCell ref="C77:G77"/>
    <mergeCell ref="C78:I78"/>
    <mergeCell ref="E2:F3"/>
    <mergeCell ref="E10:F10"/>
    <mergeCell ref="E12:F12"/>
    <mergeCell ref="E11:F11"/>
    <mergeCell ref="E13:F13"/>
    <mergeCell ref="G2:G3"/>
    <mergeCell ref="H2:H3"/>
    <mergeCell ref="C4:K4"/>
    <mergeCell ref="E28:F28"/>
    <mergeCell ref="C2:C3"/>
    <mergeCell ref="I2:I3"/>
    <mergeCell ref="E5:F5"/>
    <mergeCell ref="E8:F8"/>
    <mergeCell ref="E20:F20"/>
    <mergeCell ref="E16:F16"/>
    <mergeCell ref="E14:F14"/>
    <mergeCell ref="C124:K124"/>
    <mergeCell ref="C86:K86"/>
    <mergeCell ref="E87:F87"/>
    <mergeCell ref="E88:F88"/>
    <mergeCell ref="C90:G90"/>
    <mergeCell ref="C92:H92"/>
    <mergeCell ref="E102:F102"/>
    <mergeCell ref="E117:F117"/>
    <mergeCell ref="J2:K2"/>
    <mergeCell ref="C37:H37"/>
    <mergeCell ref="C39:H39"/>
    <mergeCell ref="E46:F46"/>
    <mergeCell ref="E47:F47"/>
    <mergeCell ref="C48:G48"/>
    <mergeCell ref="C49:I49"/>
    <mergeCell ref="C50:I50"/>
    <mergeCell ref="C91:I91"/>
    <mergeCell ref="C85:I85"/>
    <mergeCell ref="E65:F65"/>
    <mergeCell ref="E63:F63"/>
    <mergeCell ref="E64:F64"/>
    <mergeCell ref="E106:F106"/>
    <mergeCell ref="E111:F111"/>
    <mergeCell ref="E62:F62"/>
    <mergeCell ref="D1:K1"/>
    <mergeCell ref="E98:F98"/>
    <mergeCell ref="E9:F9"/>
    <mergeCell ref="E15:F15"/>
    <mergeCell ref="C104:I104"/>
    <mergeCell ref="E17:F17"/>
    <mergeCell ref="E19:F19"/>
    <mergeCell ref="E33:F33"/>
    <mergeCell ref="E34:F34"/>
    <mergeCell ref="E36:F36"/>
    <mergeCell ref="E35:F35"/>
    <mergeCell ref="E18:F18"/>
    <mergeCell ref="E27:F27"/>
    <mergeCell ref="E97:F97"/>
    <mergeCell ref="E42:F42"/>
    <mergeCell ref="C43:G43"/>
    <mergeCell ref="E29:F29"/>
    <mergeCell ref="E30:F30"/>
    <mergeCell ref="E31:F31"/>
    <mergeCell ref="E99:F99"/>
    <mergeCell ref="E100:F100"/>
    <mergeCell ref="E40:F40"/>
    <mergeCell ref="C44:I44"/>
    <mergeCell ref="C45:I45"/>
    <mergeCell ref="E61:F61"/>
    <mergeCell ref="E107:F107"/>
    <mergeCell ref="C115:I115"/>
    <mergeCell ref="E109:F109"/>
    <mergeCell ref="C60:H60"/>
    <mergeCell ref="C123:J123"/>
    <mergeCell ref="E66:F66"/>
    <mergeCell ref="E110:F110"/>
    <mergeCell ref="C69:H69"/>
    <mergeCell ref="E112:F112"/>
    <mergeCell ref="C67:H67"/>
    <mergeCell ref="C68:I68"/>
    <mergeCell ref="E118:F118"/>
    <mergeCell ref="C119:G119"/>
    <mergeCell ref="C121:H121"/>
    <mergeCell ref="C120:I120"/>
    <mergeCell ref="C113:G113"/>
    <mergeCell ref="C122:J122"/>
    <mergeCell ref="C116:H116"/>
    <mergeCell ref="E89:F89"/>
    <mergeCell ref="C114:G114"/>
    <mergeCell ref="E93:F93"/>
    <mergeCell ref="C94:G94"/>
    <mergeCell ref="C95:I95"/>
  </mergeCells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  <ignoredErrors>
    <ignoredError sqref="H103" formulaRange="1"/>
    <ignoredError sqref="J54:J56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I24"/>
  <sheetViews>
    <sheetView workbookViewId="0">
      <selection activeCell="C5" sqref="C5"/>
    </sheetView>
  </sheetViews>
  <sheetFormatPr defaultRowHeight="14.4" x14ac:dyDescent="0.3"/>
  <cols>
    <col min="3" max="3" width="36.5546875" customWidth="1"/>
    <col min="5" max="5" width="13.5546875" customWidth="1"/>
    <col min="6" max="6" width="9.109375" customWidth="1"/>
  </cols>
  <sheetData>
    <row r="4" spans="3:9" ht="40.5" customHeight="1" thickBot="1" x14ac:dyDescent="0.35">
      <c r="C4" s="1" t="s">
        <v>6</v>
      </c>
      <c r="D4" s="2" t="s">
        <v>7</v>
      </c>
      <c r="E4" s="2" t="s">
        <v>8</v>
      </c>
      <c r="F4" s="5">
        <v>60</v>
      </c>
      <c r="G4">
        <f>F4/6</f>
        <v>10</v>
      </c>
      <c r="H4">
        <f>G4*1.5</f>
        <v>15</v>
      </c>
      <c r="I4" s="6">
        <f>H4/15.6466</f>
        <v>0.95867472805593557</v>
      </c>
    </row>
    <row r="5" spans="3:9" ht="15" thickBot="1" x14ac:dyDescent="0.35">
      <c r="C5" s="1" t="s">
        <v>9</v>
      </c>
      <c r="D5" s="2" t="s">
        <v>3</v>
      </c>
      <c r="E5" s="2">
        <v>6</v>
      </c>
      <c r="F5" s="5">
        <v>30</v>
      </c>
      <c r="G5">
        <f>F5/6</f>
        <v>5</v>
      </c>
      <c r="H5">
        <f>G5*1.5</f>
        <v>7.5</v>
      </c>
      <c r="I5" s="6">
        <f t="shared" ref="I5:I17" si="0">H5/15.6466</f>
        <v>0.47933736402796778</v>
      </c>
    </row>
    <row r="6" spans="3:9" ht="25.2" thickBot="1" x14ac:dyDescent="0.35">
      <c r="C6" s="1" t="s">
        <v>10</v>
      </c>
      <c r="D6" s="2" t="s">
        <v>7</v>
      </c>
      <c r="E6" s="2" t="s">
        <v>11</v>
      </c>
      <c r="F6" s="5">
        <v>100</v>
      </c>
      <c r="G6" s="5">
        <v>150</v>
      </c>
      <c r="H6">
        <f t="shared" ref="H6:H17" si="1">G6*1.5</f>
        <v>225</v>
      </c>
      <c r="I6" s="6">
        <f t="shared" si="0"/>
        <v>14.380120920839033</v>
      </c>
    </row>
    <row r="7" spans="3:9" ht="25.2" thickBot="1" x14ac:dyDescent="0.35">
      <c r="C7" s="1" t="s">
        <v>12</v>
      </c>
      <c r="D7" s="2" t="s">
        <v>13</v>
      </c>
      <c r="E7" s="2">
        <v>6</v>
      </c>
      <c r="F7" s="5">
        <v>50</v>
      </c>
      <c r="G7" s="7">
        <f>F7/6</f>
        <v>8.3333333333333339</v>
      </c>
      <c r="H7">
        <f t="shared" si="1"/>
        <v>12.5</v>
      </c>
      <c r="I7" s="6">
        <f t="shared" si="0"/>
        <v>0.79889560671327964</v>
      </c>
    </row>
    <row r="8" spans="3:9" ht="15" thickBot="1" x14ac:dyDescent="0.35">
      <c r="C8" s="1" t="s">
        <v>14</v>
      </c>
      <c r="D8" s="2" t="s">
        <v>13</v>
      </c>
      <c r="E8" s="2">
        <v>6</v>
      </c>
      <c r="F8" s="5">
        <v>20</v>
      </c>
      <c r="G8" s="7">
        <f t="shared" ref="G8:G17" si="2">F8/6</f>
        <v>3.3333333333333335</v>
      </c>
      <c r="H8">
        <f t="shared" si="1"/>
        <v>5</v>
      </c>
      <c r="I8" s="6">
        <f t="shared" si="0"/>
        <v>0.31955824268531186</v>
      </c>
    </row>
    <row r="9" spans="3:9" ht="15" thickBot="1" x14ac:dyDescent="0.35">
      <c r="C9" s="1" t="s">
        <v>15</v>
      </c>
      <c r="D9" s="2" t="s">
        <v>3</v>
      </c>
      <c r="E9" s="2">
        <v>6</v>
      </c>
      <c r="F9" s="5">
        <v>12</v>
      </c>
      <c r="G9" s="7">
        <f t="shared" si="2"/>
        <v>2</v>
      </c>
      <c r="H9">
        <f t="shared" si="1"/>
        <v>3</v>
      </c>
      <c r="I9" s="6">
        <f t="shared" si="0"/>
        <v>0.19173494561118709</v>
      </c>
    </row>
    <row r="10" spans="3:9" ht="15" thickBot="1" x14ac:dyDescent="0.35">
      <c r="C10" s="1" t="s">
        <v>16</v>
      </c>
      <c r="D10" s="2" t="s">
        <v>13</v>
      </c>
      <c r="E10" s="2">
        <v>6</v>
      </c>
      <c r="F10" s="5">
        <v>115</v>
      </c>
      <c r="G10" s="7">
        <f t="shared" si="2"/>
        <v>19.166666666666668</v>
      </c>
      <c r="H10">
        <f t="shared" si="1"/>
        <v>28.75</v>
      </c>
      <c r="I10" s="6">
        <f t="shared" si="0"/>
        <v>1.837459895440543</v>
      </c>
    </row>
    <row r="11" spans="3:9" ht="25.2" thickBot="1" x14ac:dyDescent="0.35">
      <c r="C11" s="1" t="s">
        <v>17</v>
      </c>
      <c r="D11" s="2" t="s">
        <v>3</v>
      </c>
      <c r="E11" s="2">
        <v>1</v>
      </c>
      <c r="F11" s="5">
        <v>25</v>
      </c>
      <c r="G11" s="5">
        <v>25</v>
      </c>
      <c r="H11">
        <f t="shared" si="1"/>
        <v>37.5</v>
      </c>
      <c r="I11" s="6">
        <f t="shared" si="0"/>
        <v>2.3966868201398386</v>
      </c>
    </row>
    <row r="12" spans="3:9" ht="15" thickBot="1" x14ac:dyDescent="0.35">
      <c r="C12" s="1" t="s">
        <v>18</v>
      </c>
      <c r="D12" s="2" t="s">
        <v>13</v>
      </c>
      <c r="E12" s="2">
        <v>6</v>
      </c>
      <c r="F12" s="5">
        <v>10</v>
      </c>
      <c r="G12" s="7">
        <f t="shared" si="2"/>
        <v>1.6666666666666667</v>
      </c>
      <c r="H12">
        <f t="shared" si="1"/>
        <v>2.5</v>
      </c>
      <c r="I12" s="6">
        <f t="shared" si="0"/>
        <v>0.15977912134265593</v>
      </c>
    </row>
    <row r="13" spans="3:9" ht="15" thickBot="1" x14ac:dyDescent="0.35">
      <c r="C13" s="1" t="s">
        <v>19</v>
      </c>
      <c r="D13" s="2" t="s">
        <v>13</v>
      </c>
      <c r="E13" s="2">
        <v>2</v>
      </c>
      <c r="F13" s="5">
        <v>300</v>
      </c>
      <c r="G13" s="7">
        <f t="shared" si="2"/>
        <v>50</v>
      </c>
      <c r="H13">
        <f t="shared" si="1"/>
        <v>75</v>
      </c>
      <c r="I13" s="6">
        <f t="shared" si="0"/>
        <v>4.7933736402796772</v>
      </c>
    </row>
    <row r="14" spans="3:9" ht="15" thickBot="1" x14ac:dyDescent="0.35">
      <c r="C14" s="1" t="s">
        <v>20</v>
      </c>
      <c r="D14" s="2" t="s">
        <v>13</v>
      </c>
      <c r="E14" s="2">
        <v>2</v>
      </c>
      <c r="F14" s="5">
        <v>30</v>
      </c>
      <c r="G14" s="7">
        <f t="shared" si="2"/>
        <v>5</v>
      </c>
      <c r="H14">
        <f t="shared" si="1"/>
        <v>7.5</v>
      </c>
      <c r="I14" s="6">
        <f t="shared" si="0"/>
        <v>0.47933736402796778</v>
      </c>
    </row>
    <row r="15" spans="3:9" ht="25.2" thickBot="1" x14ac:dyDescent="0.35">
      <c r="C15" s="1" t="s">
        <v>21</v>
      </c>
      <c r="D15" s="2" t="s">
        <v>13</v>
      </c>
      <c r="E15" s="2">
        <v>6</v>
      </c>
      <c r="F15" s="5">
        <v>150</v>
      </c>
      <c r="G15" s="7">
        <f t="shared" si="2"/>
        <v>25</v>
      </c>
      <c r="H15">
        <f t="shared" si="1"/>
        <v>37.5</v>
      </c>
      <c r="I15" s="6">
        <f t="shared" si="0"/>
        <v>2.3966868201398386</v>
      </c>
    </row>
    <row r="16" spans="3:9" ht="15" thickBot="1" x14ac:dyDescent="0.35">
      <c r="C16" s="1" t="s">
        <v>22</v>
      </c>
      <c r="D16" s="2" t="s">
        <v>13</v>
      </c>
      <c r="E16" s="2">
        <v>6</v>
      </c>
      <c r="F16" s="5">
        <v>12</v>
      </c>
      <c r="G16" s="7">
        <f t="shared" si="2"/>
        <v>2</v>
      </c>
      <c r="H16">
        <f t="shared" si="1"/>
        <v>3</v>
      </c>
      <c r="I16" s="6">
        <f t="shared" si="0"/>
        <v>0.19173494561118709</v>
      </c>
    </row>
    <row r="17" spans="3:9" ht="25.2" thickBot="1" x14ac:dyDescent="0.35">
      <c r="C17" s="1" t="s">
        <v>23</v>
      </c>
      <c r="D17" s="3" t="s">
        <v>24</v>
      </c>
      <c r="E17" s="4">
        <v>5</v>
      </c>
      <c r="F17" s="5">
        <v>500</v>
      </c>
      <c r="G17" s="7">
        <f t="shared" si="2"/>
        <v>83.333333333333329</v>
      </c>
      <c r="H17">
        <f t="shared" si="1"/>
        <v>125</v>
      </c>
      <c r="I17" s="6">
        <f t="shared" si="0"/>
        <v>7.9889560671327962</v>
      </c>
    </row>
    <row r="18" spans="3:9" x14ac:dyDescent="0.3">
      <c r="F18" s="6">
        <f>SUM(F4:F17)</f>
        <v>1414</v>
      </c>
      <c r="G18" s="6">
        <f>SUM(G4:G17)</f>
        <v>389.83333333333331</v>
      </c>
      <c r="H18" s="6">
        <f>SUM(H4:H17)</f>
        <v>584.75</v>
      </c>
      <c r="I18" s="6">
        <f>SUM(I4:I17)</f>
        <v>37.372336482047217</v>
      </c>
    </row>
    <row r="21" spans="3:9" x14ac:dyDescent="0.3">
      <c r="D21" s="6">
        <v>400</v>
      </c>
      <c r="E21" s="6">
        <f>D21/15.6466</f>
        <v>25.564659414824948</v>
      </c>
    </row>
    <row r="22" spans="3:9" x14ac:dyDescent="0.3">
      <c r="C22" s="8" t="s">
        <v>27</v>
      </c>
      <c r="D22" s="8" t="s">
        <v>4</v>
      </c>
      <c r="E22" s="6">
        <f>D22/15.6466</f>
        <v>36668.349673411474</v>
      </c>
    </row>
    <row r="24" spans="3:9" x14ac:dyDescent="0.3">
      <c r="D24">
        <v>573735</v>
      </c>
      <c r="E24" s="6">
        <f>D24/15.6466</f>
        <v>36668.349673411474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P49"/>
  <sheetViews>
    <sheetView topLeftCell="A4" workbookViewId="0">
      <selection activeCell="C17" sqref="C17"/>
    </sheetView>
  </sheetViews>
  <sheetFormatPr defaultRowHeight="14.4" x14ac:dyDescent="0.3"/>
  <cols>
    <col min="5" max="5" width="10.44140625" customWidth="1"/>
    <col min="6" max="6" width="12.5546875" customWidth="1"/>
    <col min="7" max="7" width="16.6640625" customWidth="1"/>
    <col min="8" max="8" width="11.44140625" customWidth="1"/>
    <col min="9" max="9" width="16.33203125" customWidth="1"/>
    <col min="11" max="11" width="11.6640625" customWidth="1"/>
    <col min="12" max="12" width="10.88671875" customWidth="1"/>
    <col min="13" max="13" width="12.44140625" customWidth="1"/>
  </cols>
  <sheetData>
    <row r="5" spans="1:16" x14ac:dyDescent="0.3">
      <c r="F5" s="167" t="s">
        <v>51</v>
      </c>
      <c r="G5" s="167"/>
      <c r="H5" s="167"/>
      <c r="L5" s="167" t="s">
        <v>49</v>
      </c>
      <c r="M5" s="167"/>
      <c r="N5" s="167"/>
      <c r="O5" s="167"/>
      <c r="P5" s="167"/>
    </row>
    <row r="6" spans="1:16" ht="28.8" x14ac:dyDescent="0.3">
      <c r="F6" s="9" t="s">
        <v>29</v>
      </c>
      <c r="G6" t="s">
        <v>30</v>
      </c>
      <c r="H6" s="9" t="s">
        <v>34</v>
      </c>
      <c r="K6" s="9" t="s">
        <v>29</v>
      </c>
      <c r="L6" s="9" t="s">
        <v>30</v>
      </c>
      <c r="M6" s="9" t="s">
        <v>34</v>
      </c>
    </row>
    <row r="7" spans="1:16" x14ac:dyDescent="0.3">
      <c r="F7" s="165" t="s">
        <v>26</v>
      </c>
      <c r="G7" s="166"/>
      <c r="H7" s="166"/>
      <c r="I7" s="166"/>
      <c r="J7" s="166"/>
      <c r="K7" s="166"/>
      <c r="L7" s="166"/>
      <c r="M7" s="166"/>
      <c r="N7" s="166"/>
      <c r="O7" s="166"/>
    </row>
    <row r="8" spans="1:16" x14ac:dyDescent="0.3">
      <c r="C8">
        <f>C9/1.1</f>
        <v>1866.8831168831166</v>
      </c>
      <c r="E8" t="s">
        <v>28</v>
      </c>
      <c r="F8" s="6">
        <f>C8/15.6466</f>
        <v>119.31557762600927</v>
      </c>
      <c r="J8" t="s">
        <v>33</v>
      </c>
    </row>
    <row r="9" spans="1:16" x14ac:dyDescent="0.3">
      <c r="C9" s="10">
        <v>2053.5714285714284</v>
      </c>
      <c r="E9" t="s">
        <v>31</v>
      </c>
      <c r="F9" s="6">
        <f>C9/15.6466</f>
        <v>131.24713538861022</v>
      </c>
      <c r="G9">
        <v>40</v>
      </c>
      <c r="H9" s="7">
        <f>F9*G9</f>
        <v>5249.8854155444087</v>
      </c>
      <c r="J9" t="s">
        <v>35</v>
      </c>
      <c r="K9" s="6">
        <f>A10/15.6466</f>
        <v>168.3387171288696</v>
      </c>
    </row>
    <row r="10" spans="1:16" x14ac:dyDescent="0.3">
      <c r="A10" s="10">
        <v>2633.9285714285711</v>
      </c>
      <c r="C10" s="10">
        <v>2142.8571428571427</v>
      </c>
      <c r="E10" t="s">
        <v>32</v>
      </c>
      <c r="F10" s="6">
        <f>C10/15.6466</f>
        <v>136.95353257941935</v>
      </c>
      <c r="G10">
        <v>995</v>
      </c>
      <c r="H10" s="7">
        <f>F10*G10</f>
        <v>136268.76491652225</v>
      </c>
      <c r="J10" t="s">
        <v>46</v>
      </c>
      <c r="K10" s="6">
        <f>A11/15.6466</f>
        <v>176.89831291508332</v>
      </c>
      <c r="L10">
        <v>220</v>
      </c>
      <c r="M10" s="7">
        <f>K10*L10</f>
        <v>38917.628841318328</v>
      </c>
    </row>
    <row r="11" spans="1:16" x14ac:dyDescent="0.3">
      <c r="A11" s="10">
        <v>2767.8571428571427</v>
      </c>
      <c r="C11" s="10">
        <v>2232.1428571428569</v>
      </c>
      <c r="E11" t="s">
        <v>42</v>
      </c>
      <c r="F11" s="6">
        <f>C11/15.6466</f>
        <v>142.65992977022847</v>
      </c>
      <c r="G11">
        <v>1485</v>
      </c>
      <c r="H11" s="7">
        <f>F11*G11</f>
        <v>211849.99570878927</v>
      </c>
      <c r="K11" s="6"/>
      <c r="L11" t="s">
        <v>25</v>
      </c>
    </row>
    <row r="12" spans="1:16" x14ac:dyDescent="0.3">
      <c r="A12" s="10"/>
      <c r="C12" s="10"/>
      <c r="F12" s="6"/>
      <c r="G12" t="s">
        <v>25</v>
      </c>
      <c r="H12" s="7">
        <f>SUM(H9:H11)</f>
        <v>353368.64604085591</v>
      </c>
      <c r="J12" t="s">
        <v>47</v>
      </c>
      <c r="K12" s="6">
        <f>A11/15.6466</f>
        <v>176.89831291508332</v>
      </c>
      <c r="L12">
        <v>415</v>
      </c>
      <c r="M12" s="7">
        <f>K12*L12</f>
        <v>73412.799859759572</v>
      </c>
    </row>
    <row r="13" spans="1:16" x14ac:dyDescent="0.3">
      <c r="A13" s="10"/>
      <c r="C13" s="10">
        <v>2232.1428571428569</v>
      </c>
      <c r="E13" t="s">
        <v>43</v>
      </c>
      <c r="F13" s="6">
        <f>C13/15.6466</f>
        <v>142.65992977022847</v>
      </c>
      <c r="G13">
        <v>245</v>
      </c>
      <c r="H13" s="7">
        <f>F13*G13</f>
        <v>34951.682793705979</v>
      </c>
      <c r="L13" t="s">
        <v>25</v>
      </c>
    </row>
    <row r="14" spans="1:16" x14ac:dyDescent="0.3">
      <c r="C14" s="10"/>
      <c r="G14" t="s">
        <v>25</v>
      </c>
      <c r="H14" s="7">
        <f>SUM(H13)</f>
        <v>34951.682793705979</v>
      </c>
      <c r="L14" t="s">
        <v>44</v>
      </c>
    </row>
    <row r="15" spans="1:16" x14ac:dyDescent="0.3">
      <c r="C15" s="10"/>
      <c r="G15" t="s">
        <v>44</v>
      </c>
      <c r="H15" s="7">
        <f>+H12+H14</f>
        <v>388320.32883456186</v>
      </c>
    </row>
    <row r="16" spans="1:16" x14ac:dyDescent="0.3">
      <c r="C16" s="10"/>
    </row>
    <row r="17" spans="3:15" x14ac:dyDescent="0.3">
      <c r="C17" s="10"/>
    </row>
    <row r="18" spans="3:15" ht="28.8" x14ac:dyDescent="0.3">
      <c r="C18" s="10"/>
      <c r="G18" s="9" t="s">
        <v>38</v>
      </c>
    </row>
    <row r="19" spans="3:15" ht="45.75" customHeight="1" x14ac:dyDescent="0.3">
      <c r="G19" s="9" t="s">
        <v>37</v>
      </c>
    </row>
    <row r="20" spans="3:15" ht="43.2" x14ac:dyDescent="0.3">
      <c r="F20" s="10"/>
      <c r="G20" s="9" t="s">
        <v>39</v>
      </c>
    </row>
    <row r="21" spans="3:15" x14ac:dyDescent="0.3">
      <c r="F21" s="165" t="s">
        <v>40</v>
      </c>
      <c r="G21" s="166"/>
      <c r="H21" s="166"/>
      <c r="I21" s="166"/>
      <c r="J21" s="166"/>
      <c r="K21" s="166"/>
      <c r="L21" s="166"/>
      <c r="M21" s="166"/>
      <c r="N21" s="166"/>
      <c r="O21" s="166"/>
    </row>
    <row r="22" spans="3:15" x14ac:dyDescent="0.3">
      <c r="C22">
        <f>C23/1.1</f>
        <v>1866.8831168831166</v>
      </c>
      <c r="E22" t="s">
        <v>28</v>
      </c>
      <c r="F22" s="6">
        <f>C22/15.6466</f>
        <v>119.31557762600927</v>
      </c>
      <c r="J22" t="s">
        <v>33</v>
      </c>
      <c r="K22" s="6">
        <v>142.66</v>
      </c>
      <c r="L22">
        <v>1030</v>
      </c>
      <c r="M22">
        <f>L22*K22</f>
        <v>146939.79999999999</v>
      </c>
    </row>
    <row r="23" spans="3:15" x14ac:dyDescent="0.3">
      <c r="C23" s="10">
        <v>2053.5714285714284</v>
      </c>
      <c r="E23" t="s">
        <v>31</v>
      </c>
      <c r="F23" s="6">
        <f>C23/15.6466</f>
        <v>131.24713538861022</v>
      </c>
      <c r="G23">
        <v>765</v>
      </c>
      <c r="H23" s="7">
        <f>G23*F23</f>
        <v>100404.05857228681</v>
      </c>
      <c r="J23" t="s">
        <v>35</v>
      </c>
      <c r="K23" s="6">
        <v>168.34</v>
      </c>
      <c r="L23">
        <v>1925</v>
      </c>
      <c r="M23">
        <f>L23*K23</f>
        <v>324054.5</v>
      </c>
    </row>
    <row r="24" spans="3:15" x14ac:dyDescent="0.3">
      <c r="C24" s="10">
        <v>2142.8571428571427</v>
      </c>
      <c r="E24" t="s">
        <v>32</v>
      </c>
      <c r="F24" s="6">
        <f>C24/15.6466</f>
        <v>136.95353257941935</v>
      </c>
      <c r="H24" s="7">
        <f>G24*F24</f>
        <v>0</v>
      </c>
      <c r="J24" t="s">
        <v>36</v>
      </c>
      <c r="K24" s="6">
        <v>176.9</v>
      </c>
      <c r="L24">
        <v>3080</v>
      </c>
      <c r="M24" s="7">
        <f>L24*K24</f>
        <v>544852</v>
      </c>
    </row>
    <row r="25" spans="3:15" x14ac:dyDescent="0.3">
      <c r="C25" s="10">
        <v>2232.1428571428569</v>
      </c>
      <c r="E25" t="s">
        <v>33</v>
      </c>
      <c r="F25" s="6">
        <f>C25/15.6466</f>
        <v>142.65992977022847</v>
      </c>
      <c r="G25">
        <v>425</v>
      </c>
      <c r="H25" s="7">
        <f>G25*F25</f>
        <v>60630.470152347101</v>
      </c>
      <c r="K25" s="11" t="s">
        <v>50</v>
      </c>
      <c r="L25" s="11">
        <f>SUM(L23:L24)</f>
        <v>5005</v>
      </c>
      <c r="M25">
        <f>SUM(M23:M24)</f>
        <v>868906.5</v>
      </c>
    </row>
    <row r="26" spans="3:15" x14ac:dyDescent="0.3">
      <c r="C26" s="10"/>
      <c r="F26" s="6"/>
      <c r="G26">
        <f>SUM(G23:G25)</f>
        <v>1190</v>
      </c>
      <c r="H26" s="7">
        <f>SUM(H23:H25)</f>
        <v>161034.52872463391</v>
      </c>
      <c r="L26" s="11"/>
    </row>
    <row r="27" spans="3:15" x14ac:dyDescent="0.3">
      <c r="C27" s="10">
        <v>2232.1428571428569</v>
      </c>
      <c r="E27" t="s">
        <v>48</v>
      </c>
    </row>
    <row r="28" spans="3:15" x14ac:dyDescent="0.3">
      <c r="C28" s="10">
        <v>2142.8571428571427</v>
      </c>
      <c r="E28" t="s">
        <v>28</v>
      </c>
      <c r="F28" s="6">
        <f>F22*0.7</f>
        <v>83.520904338206492</v>
      </c>
    </row>
    <row r="29" spans="3:15" x14ac:dyDescent="0.3">
      <c r="C29" s="10">
        <v>2232.1428571428569</v>
      </c>
      <c r="E29" t="s">
        <v>31</v>
      </c>
      <c r="F29" s="6">
        <f>F23*0.7</f>
        <v>91.872994772027141</v>
      </c>
      <c r="G29">
        <v>335</v>
      </c>
      <c r="H29" s="7">
        <f>G29*F29</f>
        <v>30777.453248629092</v>
      </c>
    </row>
    <row r="30" spans="3:15" x14ac:dyDescent="0.3">
      <c r="C30" s="10">
        <v>2321.4285714285711</v>
      </c>
      <c r="E30" t="s">
        <v>32</v>
      </c>
      <c r="F30" s="6">
        <f>F24*0.7</f>
        <v>95.867472805593536</v>
      </c>
      <c r="G30">
        <v>155</v>
      </c>
      <c r="H30" s="7">
        <f>G30*F30</f>
        <v>14859.458284866998</v>
      </c>
    </row>
    <row r="31" spans="3:15" x14ac:dyDescent="0.3">
      <c r="C31" s="10">
        <v>2321.4285714285711</v>
      </c>
      <c r="E31" t="s">
        <v>33</v>
      </c>
      <c r="F31" s="6">
        <f>F25*0.7</f>
        <v>99.861950839159931</v>
      </c>
      <c r="G31" s="9">
        <v>640</v>
      </c>
      <c r="H31" s="7">
        <f>G31*F31</f>
        <v>63911.648537062356</v>
      </c>
    </row>
    <row r="32" spans="3:15" x14ac:dyDescent="0.3">
      <c r="F32" t="s">
        <v>25</v>
      </c>
      <c r="G32">
        <f>SUM(G29:G31)</f>
        <v>1130</v>
      </c>
      <c r="H32" s="7">
        <f>SUM(H29:H31)</f>
        <v>109548.56007055845</v>
      </c>
    </row>
    <row r="33" spans="5:15" ht="28.8" x14ac:dyDescent="0.3">
      <c r="F33" s="10"/>
      <c r="G33" s="9" t="s">
        <v>38</v>
      </c>
    </row>
    <row r="34" spans="5:15" ht="43.2" x14ac:dyDescent="0.3">
      <c r="G34" s="9" t="s">
        <v>37</v>
      </c>
    </row>
    <row r="35" spans="5:15" ht="43.2" x14ac:dyDescent="0.3">
      <c r="G35" s="9" t="s">
        <v>41</v>
      </c>
    </row>
    <row r="36" spans="5:15" x14ac:dyDescent="0.3">
      <c r="G36" s="9" t="s">
        <v>44</v>
      </c>
    </row>
    <row r="37" spans="5:15" x14ac:dyDescent="0.3">
      <c r="F37" s="165" t="s">
        <v>40</v>
      </c>
      <c r="G37" s="166"/>
      <c r="H37" s="166"/>
      <c r="I37" s="166"/>
      <c r="J37" s="166"/>
      <c r="K37" s="166"/>
      <c r="L37" s="166"/>
      <c r="M37" s="166"/>
      <c r="N37" s="166"/>
      <c r="O37" s="166"/>
    </row>
    <row r="39" spans="5:15" x14ac:dyDescent="0.3">
      <c r="E39" t="s">
        <v>28</v>
      </c>
      <c r="F39" s="6">
        <v>119.32</v>
      </c>
      <c r="G39">
        <v>170</v>
      </c>
      <c r="H39">
        <f>F39*G39</f>
        <v>20284.399999999998</v>
      </c>
    </row>
    <row r="40" spans="5:15" x14ac:dyDescent="0.3">
      <c r="E40" t="s">
        <v>31</v>
      </c>
      <c r="F40" s="6">
        <v>131.25</v>
      </c>
      <c r="H40">
        <f>F40*G40</f>
        <v>0</v>
      </c>
      <c r="J40" t="s">
        <v>35</v>
      </c>
      <c r="K40" s="6">
        <v>168.34</v>
      </c>
    </row>
    <row r="41" spans="5:15" x14ac:dyDescent="0.3">
      <c r="E41" t="s">
        <v>32</v>
      </c>
      <c r="F41" s="6">
        <v>136.94999999999999</v>
      </c>
      <c r="G41">
        <v>465</v>
      </c>
      <c r="H41">
        <f>F41*G41</f>
        <v>63681.749999999993</v>
      </c>
      <c r="J41" t="s">
        <v>36</v>
      </c>
      <c r="K41" s="6">
        <v>176.9</v>
      </c>
      <c r="L41">
        <v>220</v>
      </c>
      <c r="M41">
        <f>L41*K41</f>
        <v>38918</v>
      </c>
    </row>
    <row r="42" spans="5:15" x14ac:dyDescent="0.3">
      <c r="E42" t="s">
        <v>33</v>
      </c>
      <c r="F42" s="6">
        <v>142.66</v>
      </c>
      <c r="G42">
        <v>3555</v>
      </c>
      <c r="H42">
        <f>F42*G42</f>
        <v>507156.3</v>
      </c>
      <c r="L42" t="s">
        <v>25</v>
      </c>
      <c r="M42">
        <f>SUM(M40:M41)</f>
        <v>38918</v>
      </c>
    </row>
    <row r="43" spans="5:15" x14ac:dyDescent="0.3">
      <c r="F43" t="s">
        <v>25</v>
      </c>
      <c r="G43">
        <f>SUM(G39:G42)</f>
        <v>4190</v>
      </c>
      <c r="H43" s="7">
        <f>SUM(H39:H42)</f>
        <v>591122.44999999995</v>
      </c>
    </row>
    <row r="47" spans="5:15" ht="28.8" x14ac:dyDescent="0.3">
      <c r="G47" s="9" t="s">
        <v>38</v>
      </c>
    </row>
    <row r="48" spans="5:15" ht="43.2" x14ac:dyDescent="0.3">
      <c r="G48" s="9" t="s">
        <v>37</v>
      </c>
    </row>
    <row r="49" spans="6:7" ht="43.2" x14ac:dyDescent="0.3">
      <c r="F49" s="10"/>
      <c r="G49" s="9" t="s">
        <v>41</v>
      </c>
    </row>
  </sheetData>
  <mergeCells count="5">
    <mergeCell ref="F37:O37"/>
    <mergeCell ref="F5:H5"/>
    <mergeCell ref="L5:P5"/>
    <mergeCell ref="F7:O7"/>
    <mergeCell ref="F21:O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Accreditation</dc:creator>
  <cp:lastModifiedBy>Sven Otsmaa | Viru-Nigula.ee</cp:lastModifiedBy>
  <cp:lastPrinted>2014-03-05T19:36:11Z</cp:lastPrinted>
  <dcterms:created xsi:type="dcterms:W3CDTF">2011-06-18T20:22:51Z</dcterms:created>
  <dcterms:modified xsi:type="dcterms:W3CDTF">2024-09-06T15:24:31Z</dcterms:modified>
</cp:coreProperties>
</file>